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124226"/>
  <mc:AlternateContent xmlns:mc="http://schemas.openxmlformats.org/markup-compatibility/2006">
    <mc:Choice Requires="x15">
      <x15ac:absPath xmlns:x15ac="http://schemas.microsoft.com/office/spreadsheetml/2010/11/ac" url="C:\Users\CANAL TRO\Desktop\Disco e\PLANEACION INSTITUCIONAL 2026\MAPA DE RIESGOS 2025\SEGUIMIENTO MAPA DE RIESGOS 2026\"/>
    </mc:Choice>
  </mc:AlternateContent>
  <xr:revisionPtr revIDLastSave="0" documentId="13_ncr:1_{3C509928-99F8-479E-AFB2-861D845F64C6}" xr6:coauthVersionLast="47" xr6:coauthVersionMax="47" xr10:uidLastSave="{00000000-0000-0000-0000-000000000000}"/>
  <bookViews>
    <workbookView xWindow="-120" yWindow="-120" windowWidth="29040" windowHeight="15720" tabRatio="882" activeTab="1" xr2:uid="{00000000-000D-0000-FFFF-FFFF00000000}"/>
  </bookViews>
  <sheets>
    <sheet name="Intructivo  " sheetId="22" r:id="rId1"/>
    <sheet name="Mapa de Riesgos" sheetId="1" r:id="rId2"/>
    <sheet name="Matriz Calor Inherente " sheetId="23" r:id="rId3"/>
    <sheet name="Matriz calor Residual " sheetId="24" r:id="rId4"/>
    <sheet name="Tabla probabilidad" sheetId="12" r:id="rId5"/>
    <sheet name="Tabla Impacto" sheetId="13" r:id="rId6"/>
    <sheet name="Tabla Valoración controles" sheetId="15" r:id="rId7"/>
    <sheet name="Opciones Tratamiento" sheetId="16" r:id="rId8"/>
    <sheet name="Hoja1" sheetId="11" r:id="rId9"/>
  </sheets>
  <externalReferences>
    <externalReference r:id="rId10"/>
  </externalReferences>
  <calcPr calcId="181029"/>
  <pivotCaches>
    <pivotCache cacheId="0" r:id="rId11"/>
  </pivotCaches>
</workbook>
</file>

<file path=xl/calcChain.xml><?xml version="1.0" encoding="utf-8"?>
<calcChain xmlns="http://schemas.openxmlformats.org/spreadsheetml/2006/main">
  <c r="Q67" i="1" l="1"/>
  <c r="AB67" i="1" s="1"/>
  <c r="AA67" i="1" s="1"/>
  <c r="T67" i="1"/>
  <c r="Q62" i="1"/>
  <c r="AB62" i="1" s="1"/>
  <c r="AA62" i="1" s="1"/>
  <c r="T62" i="1"/>
  <c r="X62" i="1"/>
  <c r="Y62" i="1" s="1"/>
  <c r="Q63" i="1"/>
  <c r="X63" i="1" s="1"/>
  <c r="T63" i="1"/>
  <c r="Q64" i="1"/>
  <c r="X64" i="1" s="1"/>
  <c r="T64" i="1"/>
  <c r="Q65" i="1"/>
  <c r="AB65" i="1" s="1"/>
  <c r="AA65" i="1" s="1"/>
  <c r="T65" i="1"/>
  <c r="Q59" i="1"/>
  <c r="X59" i="1" s="1"/>
  <c r="T59" i="1"/>
  <c r="Q46" i="1"/>
  <c r="X46" i="1" s="1"/>
  <c r="T46" i="1"/>
  <c r="K31" i="1"/>
  <c r="X67" i="1" l="1"/>
  <c r="Y64" i="1"/>
  <c r="Z64" i="1"/>
  <c r="Z63" i="1"/>
  <c r="Y63" i="1"/>
  <c r="AC62" i="1"/>
  <c r="X65" i="1"/>
  <c r="Z62" i="1"/>
  <c r="Y59" i="1"/>
  <c r="AC59" i="1" s="1"/>
  <c r="Z59" i="1"/>
  <c r="AB59" i="1"/>
  <c r="AA59" i="1" s="1"/>
  <c r="Y46" i="1"/>
  <c r="Z46" i="1"/>
  <c r="AB46" i="1"/>
  <c r="AA46" i="1" s="1"/>
  <c r="T7" i="1"/>
  <c r="Q7" i="1"/>
  <c r="T38" i="1"/>
  <c r="Q38" i="1"/>
  <c r="AB38" i="1" s="1"/>
  <c r="AA38" i="1" s="1"/>
  <c r="Z67" i="1" l="1"/>
  <c r="Y67" i="1"/>
  <c r="AC67" i="1" s="1"/>
  <c r="Y65" i="1"/>
  <c r="AC65" i="1" s="1"/>
  <c r="Z65" i="1"/>
  <c r="AC46" i="1"/>
  <c r="X38" i="1"/>
  <c r="Z38" i="1" l="1"/>
  <c r="Y38" i="1"/>
  <c r="AC38" i="1" s="1"/>
  <c r="Q35" i="1" l="1"/>
  <c r="AB35" i="1" s="1"/>
  <c r="AA35" i="1" s="1"/>
  <c r="T35" i="1"/>
  <c r="X35" i="1" l="1"/>
  <c r="Z35" i="1" s="1"/>
  <c r="Y35" i="1" l="1"/>
  <c r="AC35" i="1" s="1"/>
  <c r="Q24" i="1"/>
  <c r="T24" i="1"/>
  <c r="Q25" i="1"/>
  <c r="T25" i="1"/>
  <c r="Q20" i="1"/>
  <c r="T20" i="1"/>
  <c r="X20" i="1" l="1"/>
  <c r="Z20" i="1" s="1"/>
  <c r="AB20" i="1"/>
  <c r="AA20" i="1" s="1"/>
  <c r="X25" i="1"/>
  <c r="Y25" i="1" s="1"/>
  <c r="X24" i="1"/>
  <c r="Y24" i="1" s="1"/>
  <c r="AB25" i="1"/>
  <c r="AA25" i="1" s="1"/>
  <c r="AB24" i="1"/>
  <c r="AA24" i="1" s="1"/>
  <c r="Q73" i="1"/>
  <c r="T73" i="1"/>
  <c r="Q74" i="1"/>
  <c r="AB74" i="1" s="1"/>
  <c r="AA74" i="1" s="1"/>
  <c r="T74" i="1"/>
  <c r="Q75" i="1"/>
  <c r="AB75" i="1" s="1"/>
  <c r="AA75" i="1" s="1"/>
  <c r="T75" i="1"/>
  <c r="L19" i="24"/>
  <c r="Y20" i="1" l="1"/>
  <c r="AC20" i="1" s="1"/>
  <c r="Z24" i="1"/>
  <c r="Z25" i="1"/>
  <c r="X73" i="1"/>
  <c r="Y73" i="1" s="1"/>
  <c r="AC24" i="1"/>
  <c r="AC25" i="1"/>
  <c r="X74" i="1"/>
  <c r="X75" i="1"/>
  <c r="AB73" i="1"/>
  <c r="AA73" i="1" s="1"/>
  <c r="AH45" i="24"/>
  <c r="AC45" i="24"/>
  <c r="X45" i="24"/>
  <c r="S45" i="24"/>
  <c r="N45" i="24"/>
  <c r="AH44" i="24"/>
  <c r="AC44" i="24"/>
  <c r="X44" i="24"/>
  <c r="S44" i="24"/>
  <c r="N44" i="24"/>
  <c r="AH43" i="24"/>
  <c r="AF43" i="24"/>
  <c r="AC43" i="24"/>
  <c r="AA43" i="24"/>
  <c r="X43" i="24"/>
  <c r="V43" i="24"/>
  <c r="S43" i="24"/>
  <c r="Q43" i="24"/>
  <c r="N43" i="24"/>
  <c r="L43" i="24"/>
  <c r="AH42" i="24"/>
  <c r="AC42" i="24"/>
  <c r="X42" i="24"/>
  <c r="S42" i="24"/>
  <c r="N42" i="24"/>
  <c r="AH37" i="24"/>
  <c r="AC37" i="24"/>
  <c r="X37" i="24"/>
  <c r="S37" i="24"/>
  <c r="N37" i="24"/>
  <c r="AH36" i="24"/>
  <c r="AC36" i="24"/>
  <c r="X36" i="24"/>
  <c r="S36" i="24"/>
  <c r="N36" i="24"/>
  <c r="AH35" i="24"/>
  <c r="AF35" i="24"/>
  <c r="AC35" i="24"/>
  <c r="AA35" i="24"/>
  <c r="X35" i="24"/>
  <c r="V35" i="24"/>
  <c r="S35" i="24"/>
  <c r="Q35" i="24"/>
  <c r="N35" i="24"/>
  <c r="L35" i="24"/>
  <c r="AH34" i="24"/>
  <c r="AC34" i="24"/>
  <c r="X34" i="24"/>
  <c r="S34" i="24"/>
  <c r="N34" i="24"/>
  <c r="AH29" i="24"/>
  <c r="AC29" i="24"/>
  <c r="X29" i="24"/>
  <c r="S29" i="24"/>
  <c r="N29" i="24"/>
  <c r="AH28" i="24"/>
  <c r="AC28" i="24"/>
  <c r="X28" i="24"/>
  <c r="S28" i="24"/>
  <c r="N28" i="24"/>
  <c r="AH27" i="24"/>
  <c r="AF27" i="24"/>
  <c r="AC27" i="24"/>
  <c r="AA27" i="24"/>
  <c r="X27" i="24"/>
  <c r="V27" i="24"/>
  <c r="S27" i="24"/>
  <c r="Q27" i="24"/>
  <c r="N27" i="24"/>
  <c r="L27" i="24"/>
  <c r="AH26" i="24"/>
  <c r="AC26" i="24"/>
  <c r="X26" i="24"/>
  <c r="S26" i="24"/>
  <c r="N26" i="24"/>
  <c r="AH21" i="24"/>
  <c r="AC21" i="24"/>
  <c r="X21" i="24"/>
  <c r="S21" i="24"/>
  <c r="N21" i="24"/>
  <c r="AH20" i="24"/>
  <c r="AC20" i="24"/>
  <c r="X20" i="24"/>
  <c r="S20" i="24"/>
  <c r="N20" i="24"/>
  <c r="AH19" i="24"/>
  <c r="AF19" i="24"/>
  <c r="AC19" i="24"/>
  <c r="AA19" i="24"/>
  <c r="X19" i="24"/>
  <c r="V19" i="24"/>
  <c r="S19" i="24"/>
  <c r="Q19" i="24"/>
  <c r="N19" i="24"/>
  <c r="AH18" i="24"/>
  <c r="AC18" i="24"/>
  <c r="X18" i="24"/>
  <c r="S18" i="24"/>
  <c r="N18" i="24"/>
  <c r="AH13" i="24"/>
  <c r="AC13" i="24"/>
  <c r="X13" i="24"/>
  <c r="S13" i="24"/>
  <c r="N13" i="24"/>
  <c r="AH12" i="24"/>
  <c r="AC12" i="24"/>
  <c r="X12" i="24"/>
  <c r="S12" i="24"/>
  <c r="N12" i="24"/>
  <c r="AH11" i="24"/>
  <c r="AF11" i="24"/>
  <c r="AC11" i="24"/>
  <c r="AA11" i="24"/>
  <c r="X11" i="24"/>
  <c r="V11" i="24"/>
  <c r="S11" i="24"/>
  <c r="Q11" i="24"/>
  <c r="N11" i="24"/>
  <c r="L11" i="24"/>
  <c r="AH10" i="24"/>
  <c r="AC10" i="24"/>
  <c r="X10" i="24"/>
  <c r="S10" i="24"/>
  <c r="N10" i="24"/>
  <c r="AH45" i="23"/>
  <c r="AH44" i="23"/>
  <c r="AH43" i="23"/>
  <c r="AF43" i="23"/>
  <c r="AH42" i="23"/>
  <c r="AC45" i="23"/>
  <c r="AC44" i="23"/>
  <c r="AC43" i="23"/>
  <c r="AA43" i="23"/>
  <c r="AC42" i="23"/>
  <c r="X45" i="23"/>
  <c r="X44" i="23"/>
  <c r="X43" i="23"/>
  <c r="V43" i="23"/>
  <c r="X42" i="23"/>
  <c r="S45" i="23"/>
  <c r="S44" i="23"/>
  <c r="S43" i="23"/>
  <c r="Q43" i="23"/>
  <c r="S42" i="23"/>
  <c r="N45" i="23"/>
  <c r="N44" i="23"/>
  <c r="N43" i="23"/>
  <c r="L43" i="23"/>
  <c r="N42" i="23"/>
  <c r="AH37" i="23"/>
  <c r="AC37" i="23"/>
  <c r="X37" i="23"/>
  <c r="S37" i="23"/>
  <c r="N37" i="23"/>
  <c r="AH36" i="23"/>
  <c r="AC36" i="23"/>
  <c r="X36" i="23"/>
  <c r="S36" i="23"/>
  <c r="N36" i="23"/>
  <c r="AH35" i="23"/>
  <c r="AF35" i="23"/>
  <c r="AC35" i="23"/>
  <c r="AA35" i="23"/>
  <c r="X35" i="23"/>
  <c r="V35" i="23"/>
  <c r="S35" i="23"/>
  <c r="Q35" i="23"/>
  <c r="N35" i="23"/>
  <c r="L35" i="23"/>
  <c r="AH34" i="23"/>
  <c r="AC34" i="23"/>
  <c r="X34" i="23"/>
  <c r="S34" i="23"/>
  <c r="N34" i="23"/>
  <c r="AH29" i="23"/>
  <c r="AC29" i="23"/>
  <c r="X29" i="23"/>
  <c r="S29" i="23"/>
  <c r="N29" i="23"/>
  <c r="AH28" i="23"/>
  <c r="AC28" i="23"/>
  <c r="X28" i="23"/>
  <c r="S28" i="23"/>
  <c r="N28" i="23"/>
  <c r="AH27" i="23"/>
  <c r="AF27" i="23"/>
  <c r="AC27" i="23"/>
  <c r="AA27" i="23"/>
  <c r="X27" i="23"/>
  <c r="V27" i="23"/>
  <c r="S27" i="23"/>
  <c r="Q27" i="23"/>
  <c r="N27" i="23"/>
  <c r="L27" i="23"/>
  <c r="AH26" i="23"/>
  <c r="AC26" i="23"/>
  <c r="X26" i="23"/>
  <c r="S26" i="23"/>
  <c r="N26" i="23"/>
  <c r="AC21" i="23"/>
  <c r="AC20" i="23"/>
  <c r="AC19" i="23"/>
  <c r="AA19" i="23"/>
  <c r="AC18" i="23"/>
  <c r="AC13" i="23"/>
  <c r="AC12" i="23"/>
  <c r="AC11" i="23"/>
  <c r="AA11" i="23"/>
  <c r="AC10" i="23"/>
  <c r="AH21" i="23"/>
  <c r="AH20" i="23"/>
  <c r="AH19" i="23"/>
  <c r="AF19" i="23"/>
  <c r="AH18" i="23"/>
  <c r="X21" i="23"/>
  <c r="X20" i="23"/>
  <c r="X19" i="23"/>
  <c r="V19" i="23"/>
  <c r="X18" i="23"/>
  <c r="S21" i="23"/>
  <c r="S20" i="23"/>
  <c r="S19" i="23"/>
  <c r="Q19" i="23"/>
  <c r="S18" i="23"/>
  <c r="N21" i="23"/>
  <c r="N20" i="23"/>
  <c r="N19" i="23"/>
  <c r="L19" i="23"/>
  <c r="N18" i="23"/>
  <c r="AH13" i="23"/>
  <c r="AH12" i="23"/>
  <c r="AH11" i="23"/>
  <c r="AF11" i="23"/>
  <c r="AH10" i="23"/>
  <c r="X13" i="23"/>
  <c r="X12" i="23"/>
  <c r="X11" i="23"/>
  <c r="V11" i="23"/>
  <c r="X10" i="23"/>
  <c r="S13" i="23"/>
  <c r="S12" i="23"/>
  <c r="S11" i="23"/>
  <c r="Q11" i="23"/>
  <c r="S10" i="23"/>
  <c r="N13" i="23"/>
  <c r="N12" i="23"/>
  <c r="N11" i="23"/>
  <c r="N10" i="23"/>
  <c r="L11" i="23"/>
  <c r="H28" i="1"/>
  <c r="I28" i="1" s="1"/>
  <c r="H29" i="1"/>
  <c r="I29" i="1" s="1"/>
  <c r="H21" i="1"/>
  <c r="I21" i="1" s="1"/>
  <c r="K10" i="1"/>
  <c r="K11" i="1"/>
  <c r="K12" i="1"/>
  <c r="K13" i="1"/>
  <c r="K14" i="1"/>
  <c r="K16" i="1"/>
  <c r="K18" i="1"/>
  <c r="K20" i="1"/>
  <c r="K22" i="1"/>
  <c r="K24" i="1"/>
  <c r="K25" i="1"/>
  <c r="K33" i="1"/>
  <c r="K35" i="1"/>
  <c r="K38" i="1"/>
  <c r="K41" i="1"/>
  <c r="K43" i="1"/>
  <c r="K46" i="1"/>
  <c r="K49" i="1"/>
  <c r="K50" i="1"/>
  <c r="K52" i="1"/>
  <c r="K54" i="1"/>
  <c r="K55" i="1"/>
  <c r="K59" i="1"/>
  <c r="K62" i="1"/>
  <c r="K65" i="1"/>
  <c r="K67" i="1"/>
  <c r="K69" i="1"/>
  <c r="K71" i="1"/>
  <c r="K73" i="1"/>
  <c r="K74" i="1"/>
  <c r="K75" i="1"/>
  <c r="K8" i="1"/>
  <c r="Z73" i="1" l="1"/>
  <c r="Z75" i="1"/>
  <c r="Y75" i="1"/>
  <c r="AC75" i="1" s="1"/>
  <c r="Y74" i="1"/>
  <c r="AC74" i="1" s="1"/>
  <c r="Z74" i="1"/>
  <c r="AC73" i="1"/>
  <c r="T68" i="1"/>
  <c r="Q68" i="1"/>
  <c r="T72" i="1"/>
  <c r="Q72" i="1"/>
  <c r="T70" i="1"/>
  <c r="Q70" i="1"/>
  <c r="T66" i="1"/>
  <c r="Q66" i="1"/>
  <c r="T61" i="1"/>
  <c r="Q61" i="1"/>
  <c r="T60" i="1"/>
  <c r="Q60" i="1"/>
  <c r="T58" i="1"/>
  <c r="Q58" i="1"/>
  <c r="T57" i="1"/>
  <c r="Q57" i="1"/>
  <c r="T56" i="1"/>
  <c r="Q56" i="1"/>
  <c r="H66" i="1" l="1"/>
  <c r="I66" i="1" s="1"/>
  <c r="X66" i="1" s="1"/>
  <c r="H68" i="1"/>
  <c r="I68" i="1" s="1"/>
  <c r="X68" i="1" s="1"/>
  <c r="H70" i="1"/>
  <c r="I70" i="1" s="1"/>
  <c r="X70" i="1" s="1"/>
  <c r="H72" i="1"/>
  <c r="I72" i="1" s="1"/>
  <c r="X72" i="1" s="1"/>
  <c r="H61" i="1"/>
  <c r="I61" i="1" s="1"/>
  <c r="X61" i="1" s="1"/>
  <c r="H63" i="1"/>
  <c r="I63" i="1" s="1"/>
  <c r="H64" i="1"/>
  <c r="I64" i="1" s="1"/>
  <c r="H56" i="1"/>
  <c r="I56" i="1" s="1"/>
  <c r="X56" i="1" s="1"/>
  <c r="Y70" i="1" l="1"/>
  <c r="Z70" i="1"/>
  <c r="Y56" i="1"/>
  <c r="Z56" i="1"/>
  <c r="Z66" i="1"/>
  <c r="Y66" i="1"/>
  <c r="Z68" i="1"/>
  <c r="Y68" i="1"/>
  <c r="Z72" i="1"/>
  <c r="Y72" i="1"/>
  <c r="Y61" i="1"/>
  <c r="Z61" i="1"/>
  <c r="T53" i="1" l="1"/>
  <c r="Q53" i="1"/>
  <c r="T51" i="1"/>
  <c r="Q51" i="1"/>
  <c r="T48" i="1"/>
  <c r="Q48" i="1"/>
  <c r="T47" i="1"/>
  <c r="Q47" i="1"/>
  <c r="T45" i="1"/>
  <c r="Q45" i="1"/>
  <c r="T44" i="1"/>
  <c r="Q44" i="1"/>
  <c r="T42" i="1"/>
  <c r="Q42" i="1"/>
  <c r="T40" i="1"/>
  <c r="Q40" i="1"/>
  <c r="T39" i="1"/>
  <c r="Q39" i="1"/>
  <c r="T37" i="1"/>
  <c r="Q37" i="1"/>
  <c r="T36" i="1"/>
  <c r="Q36" i="1"/>
  <c r="T34" i="1"/>
  <c r="Q34" i="1"/>
  <c r="T32" i="1"/>
  <c r="Q32" i="1"/>
  <c r="T30" i="1"/>
  <c r="Q30" i="1"/>
  <c r="T29" i="1"/>
  <c r="Q29" i="1"/>
  <c r="T28" i="1"/>
  <c r="Q28" i="1"/>
  <c r="T27" i="1"/>
  <c r="Q27" i="1"/>
  <c r="T26" i="1"/>
  <c r="Q26" i="1"/>
  <c r="T23" i="1"/>
  <c r="Q23" i="1"/>
  <c r="T21" i="1"/>
  <c r="Q21" i="1"/>
  <c r="T19" i="1"/>
  <c r="Q19" i="1"/>
  <c r="H57" i="1"/>
  <c r="I57" i="1" s="1"/>
  <c r="X57" i="1" s="1"/>
  <c r="H58" i="1"/>
  <c r="I58" i="1" s="1"/>
  <c r="X58" i="1" s="1"/>
  <c r="H60" i="1"/>
  <c r="I60" i="1" s="1"/>
  <c r="X60" i="1" s="1"/>
  <c r="H53" i="1"/>
  <c r="I53" i="1" s="1"/>
  <c r="H51" i="1"/>
  <c r="I51" i="1" s="1"/>
  <c r="H48" i="1"/>
  <c r="I48" i="1" s="1"/>
  <c r="H47" i="1"/>
  <c r="I47" i="1" s="1"/>
  <c r="H45" i="1"/>
  <c r="I45" i="1" s="1"/>
  <c r="H44" i="1"/>
  <c r="I44" i="1" s="1"/>
  <c r="H42" i="1"/>
  <c r="I42" i="1" s="1"/>
  <c r="H40" i="1"/>
  <c r="I40" i="1" s="1"/>
  <c r="H39" i="1"/>
  <c r="I39" i="1" s="1"/>
  <c r="H37" i="1"/>
  <c r="I37" i="1" s="1"/>
  <c r="H36" i="1"/>
  <c r="I36" i="1" s="1"/>
  <c r="H34" i="1"/>
  <c r="I34" i="1" s="1"/>
  <c r="H32" i="1"/>
  <c r="I32" i="1" s="1"/>
  <c r="Z60" i="1" l="1"/>
  <c r="Y60" i="1"/>
  <c r="Z57" i="1"/>
  <c r="Y57" i="1"/>
  <c r="Z58" i="1"/>
  <c r="Y58" i="1"/>
  <c r="X53" i="1"/>
  <c r="X51" i="1"/>
  <c r="X48" i="1"/>
  <c r="X47" i="1"/>
  <c r="X45" i="1"/>
  <c r="X44" i="1"/>
  <c r="X42" i="1"/>
  <c r="X40" i="1"/>
  <c r="X39" i="1"/>
  <c r="X37" i="1"/>
  <c r="X36" i="1"/>
  <c r="X34" i="1"/>
  <c r="X32" i="1"/>
  <c r="Z53" i="1" l="1"/>
  <c r="Y53" i="1"/>
  <c r="Z51" i="1"/>
  <c r="Y51" i="1"/>
  <c r="Z48" i="1"/>
  <c r="Y48" i="1"/>
  <c r="Z47" i="1"/>
  <c r="Y47" i="1"/>
  <c r="Z45" i="1"/>
  <c r="Y45" i="1"/>
  <c r="Z44" i="1"/>
  <c r="Y44" i="1"/>
  <c r="Z42" i="1"/>
  <c r="Y42" i="1"/>
  <c r="Z40" i="1"/>
  <c r="Y40" i="1"/>
  <c r="Z39" i="1"/>
  <c r="Y39" i="1"/>
  <c r="Z37" i="1"/>
  <c r="Y37" i="1"/>
  <c r="Z36" i="1"/>
  <c r="Y36" i="1"/>
  <c r="Z34" i="1"/>
  <c r="Y34" i="1"/>
  <c r="Z32" i="1"/>
  <c r="Y32" i="1"/>
  <c r="H30" i="1"/>
  <c r="I30" i="1" s="1"/>
  <c r="X30" i="1" s="1"/>
  <c r="X29" i="1"/>
  <c r="Z29" i="1" s="1"/>
  <c r="X28" i="1"/>
  <c r="Y28" i="1" s="1"/>
  <c r="Z30" i="1" l="1"/>
  <c r="Y30" i="1"/>
  <c r="Z28" i="1"/>
  <c r="Y29" i="1"/>
  <c r="H27" i="1"/>
  <c r="H26" i="1"/>
  <c r="I26" i="1" s="1"/>
  <c r="X26" i="1" s="1"/>
  <c r="H23" i="1"/>
  <c r="H15" i="1"/>
  <c r="I15" i="1" s="1"/>
  <c r="H17" i="1"/>
  <c r="I17" i="1" s="1"/>
  <c r="Y26" i="1" l="1"/>
  <c r="Z26" i="1"/>
  <c r="I27" i="1"/>
  <c r="X27" i="1" s="1"/>
  <c r="H9" i="1"/>
  <c r="I9" i="1" s="1"/>
  <c r="Q9" i="1"/>
  <c r="T9" i="1"/>
  <c r="Q11" i="1"/>
  <c r="AB11" i="1" s="1"/>
  <c r="AA11" i="1" s="1"/>
  <c r="T11" i="1"/>
  <c r="Q12" i="1"/>
  <c r="T12" i="1"/>
  <c r="Q13" i="1"/>
  <c r="T13" i="1"/>
  <c r="Q14" i="1"/>
  <c r="T14" i="1"/>
  <c r="H19" i="1"/>
  <c r="AB12" i="1" l="1"/>
  <c r="AA12" i="1" s="1"/>
  <c r="AB14" i="1"/>
  <c r="AA14" i="1" s="1"/>
  <c r="X11" i="1"/>
  <c r="Z11" i="1" s="1"/>
  <c r="Z27" i="1"/>
  <c r="Y27" i="1"/>
  <c r="X12" i="1"/>
  <c r="Y12" i="1" s="1"/>
  <c r="X9" i="1"/>
  <c r="X14" i="1"/>
  <c r="AB13" i="1"/>
  <c r="AA13" i="1" s="1"/>
  <c r="X13" i="1"/>
  <c r="Q8" i="1"/>
  <c r="Q15" i="1"/>
  <c r="T15" i="1"/>
  <c r="Y11" i="1" l="1"/>
  <c r="AC11" i="1" s="1"/>
  <c r="AC12" i="1"/>
  <c r="Z12" i="1"/>
  <c r="Y13" i="1"/>
  <c r="AC13" i="1" s="1"/>
  <c r="Z13" i="1"/>
  <c r="Y14" i="1"/>
  <c r="AC14" i="1" s="1"/>
  <c r="Z14" i="1"/>
  <c r="Z9" i="1"/>
  <c r="Y9" i="1"/>
  <c r="H7" i="1" l="1"/>
  <c r="I7" i="1" s="1"/>
  <c r="X7" i="1" s="1"/>
  <c r="X15" i="1"/>
  <c r="Q16" i="1"/>
  <c r="T16" i="1"/>
  <c r="Q17" i="1"/>
  <c r="T17" i="1"/>
  <c r="Q18" i="1"/>
  <c r="T18" i="1"/>
  <c r="I19" i="1"/>
  <c r="X19" i="1" s="1"/>
  <c r="X21" i="1"/>
  <c r="Q22" i="1"/>
  <c r="X22" i="1" s="1"/>
  <c r="T22" i="1"/>
  <c r="I23" i="1"/>
  <c r="X23" i="1" s="1"/>
  <c r="Y7" i="1" l="1"/>
  <c r="Z7" i="1"/>
  <c r="Z19" i="1"/>
  <c r="Y19" i="1"/>
  <c r="Z21" i="1"/>
  <c r="Y21" i="1"/>
  <c r="Z23" i="1"/>
  <c r="Y23" i="1"/>
  <c r="Z15" i="1"/>
  <c r="Y15" i="1"/>
  <c r="X18" i="1"/>
  <c r="Y18" i="1" s="1"/>
  <c r="X17" i="1"/>
  <c r="Y22" i="1"/>
  <c r="Z22" i="1"/>
  <c r="AB16" i="1"/>
  <c r="AA16" i="1" s="1"/>
  <c r="X16" i="1"/>
  <c r="AB22" i="1"/>
  <c r="AA22" i="1" s="1"/>
  <c r="AB18" i="1"/>
  <c r="AA18" i="1" s="1"/>
  <c r="Z18" i="1" l="1"/>
  <c r="AC18" i="1"/>
  <c r="AC22" i="1"/>
  <c r="Y17" i="1"/>
  <c r="Z17" i="1"/>
  <c r="Y16" i="1"/>
  <c r="AC16" i="1" s="1"/>
  <c r="Z16" i="1"/>
  <c r="F221" i="13" l="1"/>
  <c r="F211" i="13"/>
  <c r="F212" i="13"/>
  <c r="F213" i="13"/>
  <c r="F214" i="13"/>
  <c r="F215" i="13"/>
  <c r="F216" i="13"/>
  <c r="F217" i="13"/>
  <c r="F218" i="13"/>
  <c r="F219" i="13"/>
  <c r="F220" i="13"/>
  <c r="F210" i="13"/>
  <c r="B221" i="13" a="1"/>
  <c r="B221" i="13" l="1"/>
  <c r="H210" i="13" l="1"/>
  <c r="B223" i="13" l="1"/>
  <c r="B222" i="13"/>
  <c r="K29" i="1" l="1"/>
  <c r="L29" i="1" s="1"/>
  <c r="K21" i="1"/>
  <c r="L21" i="1" s="1"/>
  <c r="K28" i="1"/>
  <c r="L28" i="1" s="1"/>
  <c r="K9" i="1"/>
  <c r="L9" i="1" s="1"/>
  <c r="K56" i="1"/>
  <c r="L56" i="1" s="1"/>
  <c r="M31" i="23" s="1"/>
  <c r="K17" i="1"/>
  <c r="L17" i="1" s="1"/>
  <c r="K58" i="1"/>
  <c r="L58" i="1" s="1"/>
  <c r="K32" i="1"/>
  <c r="L32" i="1" s="1"/>
  <c r="U26" i="23" s="1"/>
  <c r="K39" i="1"/>
  <c r="L39" i="1" s="1"/>
  <c r="K45" i="1"/>
  <c r="L45" i="1" s="1"/>
  <c r="K57" i="1"/>
  <c r="L57" i="1" s="1"/>
  <c r="K51" i="1"/>
  <c r="L51" i="1" s="1"/>
  <c r="K61" i="1"/>
  <c r="L61" i="1" s="1"/>
  <c r="R43" i="23" s="1"/>
  <c r="K36" i="1"/>
  <c r="L36" i="1" s="1"/>
  <c r="K48" i="1"/>
  <c r="L48" i="1" s="1"/>
  <c r="K19" i="1"/>
  <c r="L19" i="1" s="1"/>
  <c r="K26" i="1"/>
  <c r="L26" i="1" s="1"/>
  <c r="K64" i="1"/>
  <c r="L64" i="1" s="1"/>
  <c r="K68" i="1"/>
  <c r="L68" i="1" s="1"/>
  <c r="K63" i="1"/>
  <c r="L63" i="1" s="1"/>
  <c r="K70" i="1"/>
  <c r="L70" i="1" s="1"/>
  <c r="K42" i="1"/>
  <c r="L42" i="1" s="1"/>
  <c r="K60" i="1"/>
  <c r="L60" i="1" s="1"/>
  <c r="K30" i="1"/>
  <c r="L30" i="1" s="1"/>
  <c r="K72" i="1"/>
  <c r="L72" i="1" s="1"/>
  <c r="K53" i="1"/>
  <c r="L53" i="1" s="1"/>
  <c r="M38" i="23" s="1"/>
  <c r="K23" i="1"/>
  <c r="K34" i="1"/>
  <c r="L34" i="1" s="1"/>
  <c r="K66" i="1"/>
  <c r="L66" i="1" s="1"/>
  <c r="K15" i="1"/>
  <c r="L15" i="1" s="1"/>
  <c r="K27" i="1"/>
  <c r="L27" i="1" s="1"/>
  <c r="K37" i="1"/>
  <c r="L37" i="1" s="1"/>
  <c r="K40" i="1"/>
  <c r="L40" i="1" s="1"/>
  <c r="K44" i="1"/>
  <c r="L44" i="1" s="1"/>
  <c r="K47" i="1"/>
  <c r="L47" i="1" s="1"/>
  <c r="K7" i="1"/>
  <c r="L7" i="1" s="1"/>
  <c r="O22" i="23" s="1"/>
  <c r="AF42" i="23" l="1"/>
  <c r="AF39" i="23"/>
  <c r="AH40" i="23"/>
  <c r="AF38" i="23"/>
  <c r="AG40" i="23"/>
  <c r="AG44" i="23"/>
  <c r="AE42" i="23"/>
  <c r="AE38" i="23"/>
  <c r="AH39" i="23"/>
  <c r="AG41" i="23"/>
  <c r="AD38" i="23"/>
  <c r="AE45" i="23"/>
  <c r="AD40" i="23"/>
  <c r="AG45" i="23"/>
  <c r="AD41" i="23"/>
  <c r="AH38" i="23"/>
  <c r="AD45" i="23"/>
  <c r="AG39" i="23"/>
  <c r="AE41" i="23"/>
  <c r="AF41" i="23"/>
  <c r="AD42" i="23"/>
  <c r="AD39" i="23"/>
  <c r="AE43" i="23"/>
  <c r="AF44" i="23"/>
  <c r="AE39" i="23"/>
  <c r="AG42" i="23"/>
  <c r="AG38" i="23"/>
  <c r="AE44" i="23"/>
  <c r="AD43" i="23"/>
  <c r="AF45" i="23"/>
  <c r="AF40" i="23"/>
  <c r="AH41" i="23"/>
  <c r="AG43" i="23"/>
  <c r="AE40" i="23"/>
  <c r="Y38" i="23"/>
  <c r="AB42" i="23"/>
  <c r="AA41" i="23"/>
  <c r="AA40" i="23"/>
  <c r="AA42" i="23"/>
  <c r="Z41" i="23"/>
  <c r="AB40" i="23"/>
  <c r="AA39" i="23"/>
  <c r="AC40" i="23"/>
  <c r="AA38" i="23"/>
  <c r="Z45" i="23"/>
  <c r="AB44" i="23"/>
  <c r="Z42" i="23"/>
  <c r="Z38" i="23"/>
  <c r="AC39" i="23"/>
  <c r="AB41" i="23"/>
  <c r="Y40" i="23"/>
  <c r="AB45" i="23"/>
  <c r="Y41" i="23"/>
  <c r="AA45" i="23"/>
  <c r="AC38" i="23"/>
  <c r="Y45" i="23"/>
  <c r="AB39" i="23"/>
  <c r="Y42" i="23"/>
  <c r="Y39" i="23"/>
  <c r="AA44" i="23"/>
  <c r="Z39" i="23"/>
  <c r="Z43" i="23"/>
  <c r="AB38" i="23"/>
  <c r="Z44" i="23"/>
  <c r="Y43" i="23"/>
  <c r="AC41" i="23"/>
  <c r="AB43" i="23"/>
  <c r="Z40" i="23"/>
  <c r="U41" i="23"/>
  <c r="V42" i="23"/>
  <c r="V39" i="23"/>
  <c r="X40" i="23"/>
  <c r="V38" i="23"/>
  <c r="T38" i="23"/>
  <c r="V40" i="23"/>
  <c r="W44" i="23"/>
  <c r="U42" i="23"/>
  <c r="U38" i="23"/>
  <c r="X39" i="23"/>
  <c r="W41" i="23"/>
  <c r="W42" i="23"/>
  <c r="U45" i="23"/>
  <c r="T40" i="23"/>
  <c r="W45" i="23"/>
  <c r="T41" i="23"/>
  <c r="X38" i="23"/>
  <c r="T45" i="23"/>
  <c r="W39" i="23"/>
  <c r="V45" i="23"/>
  <c r="T42" i="23"/>
  <c r="T39" i="23"/>
  <c r="U43" i="23"/>
  <c r="V44" i="23"/>
  <c r="U39" i="23"/>
  <c r="W40" i="23"/>
  <c r="W38" i="23"/>
  <c r="U44" i="23"/>
  <c r="T43" i="23"/>
  <c r="V41" i="23"/>
  <c r="X41" i="23"/>
  <c r="W43" i="23"/>
  <c r="U40" i="23"/>
  <c r="R42" i="23"/>
  <c r="R40" i="23"/>
  <c r="Q45" i="23"/>
  <c r="Q41" i="23"/>
  <c r="Q40" i="23"/>
  <c r="Q42" i="23"/>
  <c r="P41" i="23"/>
  <c r="Q39" i="23"/>
  <c r="S40" i="23"/>
  <c r="Q38" i="23"/>
  <c r="R44" i="23"/>
  <c r="P42" i="23"/>
  <c r="P38" i="23"/>
  <c r="S39" i="23"/>
  <c r="R41" i="23"/>
  <c r="P45" i="23"/>
  <c r="O40" i="23"/>
  <c r="R45" i="23"/>
  <c r="O41" i="23"/>
  <c r="S38" i="23"/>
  <c r="O45" i="23"/>
  <c r="R39" i="23"/>
  <c r="O42" i="23"/>
  <c r="O39" i="23"/>
  <c r="P43" i="23"/>
  <c r="Q44" i="23"/>
  <c r="P39" i="23"/>
  <c r="R38" i="23"/>
  <c r="P44" i="23"/>
  <c r="O43" i="23"/>
  <c r="O38" i="23"/>
  <c r="S41" i="23"/>
  <c r="P40" i="23"/>
  <c r="J38" i="23"/>
  <c r="K41" i="23"/>
  <c r="L45" i="23"/>
  <c r="M42" i="23"/>
  <c r="M40" i="23"/>
  <c r="L41" i="23"/>
  <c r="L40" i="23"/>
  <c r="L42" i="23"/>
  <c r="L39" i="23"/>
  <c r="N40" i="23"/>
  <c r="L38" i="23"/>
  <c r="M44" i="23"/>
  <c r="K42" i="23"/>
  <c r="K38" i="23"/>
  <c r="N39" i="23"/>
  <c r="M41" i="23"/>
  <c r="K45" i="23"/>
  <c r="J40" i="23"/>
  <c r="M45" i="23"/>
  <c r="J41" i="23"/>
  <c r="N38" i="23"/>
  <c r="J45" i="23"/>
  <c r="M39" i="23"/>
  <c r="J42" i="23"/>
  <c r="J39" i="23"/>
  <c r="K43" i="23"/>
  <c r="L44" i="23"/>
  <c r="K39" i="23"/>
  <c r="K44" i="23"/>
  <c r="J43" i="23"/>
  <c r="N41" i="23"/>
  <c r="M43" i="23"/>
  <c r="K40" i="23"/>
  <c r="Y30" i="23"/>
  <c r="J30" i="23"/>
  <c r="T30" i="23"/>
  <c r="AD30" i="23"/>
  <c r="O30" i="23"/>
  <c r="U33" i="23"/>
  <c r="AE33" i="23"/>
  <c r="P33" i="23"/>
  <c r="K33" i="23"/>
  <c r="Z33" i="23"/>
  <c r="Q37" i="23"/>
  <c r="AA37" i="23"/>
  <c r="L37" i="23"/>
  <c r="V37" i="23"/>
  <c r="AF37" i="23"/>
  <c r="AG34" i="23"/>
  <c r="R34" i="23"/>
  <c r="AB34" i="23"/>
  <c r="M34" i="23"/>
  <c r="W34" i="23"/>
  <c r="W32" i="23"/>
  <c r="AG32" i="23"/>
  <c r="R32" i="23"/>
  <c r="AB32" i="23"/>
  <c r="M32" i="23"/>
  <c r="AE35" i="23"/>
  <c r="U35" i="23"/>
  <c r="P35" i="23"/>
  <c r="Z35" i="23"/>
  <c r="K35" i="23"/>
  <c r="V33" i="23"/>
  <c r="AF33" i="23"/>
  <c r="Q33" i="23"/>
  <c r="AA33" i="23"/>
  <c r="L33" i="23"/>
  <c r="V32" i="23"/>
  <c r="AF32" i="23"/>
  <c r="L32" i="23"/>
  <c r="Q32" i="23"/>
  <c r="AA32" i="23"/>
  <c r="AF34" i="23"/>
  <c r="Q34" i="23"/>
  <c r="AA34" i="23"/>
  <c r="L34" i="23"/>
  <c r="V34" i="23"/>
  <c r="L31" i="23"/>
  <c r="V31" i="23"/>
  <c r="AF31" i="23"/>
  <c r="Q31" i="23"/>
  <c r="AA31" i="23"/>
  <c r="AH32" i="23"/>
  <c r="S32" i="23"/>
  <c r="X32" i="23"/>
  <c r="AC32" i="23"/>
  <c r="N32" i="23"/>
  <c r="L30" i="23"/>
  <c r="V30" i="23"/>
  <c r="AF30" i="23"/>
  <c r="Q30" i="23"/>
  <c r="AA30" i="23"/>
  <c r="R36" i="23"/>
  <c r="AB36" i="23"/>
  <c r="M36" i="23"/>
  <c r="W36" i="23"/>
  <c r="AG36" i="23"/>
  <c r="U34" i="23"/>
  <c r="AE34" i="23"/>
  <c r="P34" i="23"/>
  <c r="Z34" i="23"/>
  <c r="K34" i="23"/>
  <c r="K30" i="23"/>
  <c r="U30" i="23"/>
  <c r="AE30" i="23"/>
  <c r="Z30" i="23"/>
  <c r="P30" i="23"/>
  <c r="X31" i="23"/>
  <c r="AH31" i="23"/>
  <c r="S31" i="23"/>
  <c r="AC31" i="23"/>
  <c r="N31" i="23"/>
  <c r="AG33" i="23"/>
  <c r="W33" i="23"/>
  <c r="R33" i="23"/>
  <c r="AB33" i="23"/>
  <c r="M33" i="23"/>
  <c r="P37" i="23"/>
  <c r="Z37" i="23"/>
  <c r="K37" i="23"/>
  <c r="U37" i="23"/>
  <c r="AE37" i="23"/>
  <c r="J32" i="23"/>
  <c r="T32" i="23"/>
  <c r="AD32" i="23"/>
  <c r="O32" i="23"/>
  <c r="Y32" i="23"/>
  <c r="R37" i="23"/>
  <c r="AB37" i="23"/>
  <c r="M37" i="23"/>
  <c r="W37" i="23"/>
  <c r="AG37" i="23"/>
  <c r="J33" i="23"/>
  <c r="T33" i="23"/>
  <c r="AD33" i="23"/>
  <c r="O33" i="23"/>
  <c r="Y33" i="23"/>
  <c r="X30" i="23"/>
  <c r="AH30" i="23"/>
  <c r="S30" i="23"/>
  <c r="AC30" i="23"/>
  <c r="N30" i="23"/>
  <c r="AD37" i="23"/>
  <c r="O37" i="23"/>
  <c r="Y37" i="23"/>
  <c r="J37" i="23"/>
  <c r="T37" i="23"/>
  <c r="W31" i="23"/>
  <c r="AG31" i="23"/>
  <c r="R31" i="23"/>
  <c r="AB31" i="23"/>
  <c r="T34" i="23"/>
  <c r="AD34" i="23"/>
  <c r="O34" i="23"/>
  <c r="Y34" i="23"/>
  <c r="J34" i="23"/>
  <c r="J31" i="23"/>
  <c r="T31" i="23"/>
  <c r="AD31" i="23"/>
  <c r="O31" i="23"/>
  <c r="Y31" i="23"/>
  <c r="Q36" i="23"/>
  <c r="AA36" i="23"/>
  <c r="L36" i="23"/>
  <c r="V36" i="23"/>
  <c r="AF36" i="23"/>
  <c r="K31" i="23"/>
  <c r="U31" i="23"/>
  <c r="AE31" i="23"/>
  <c r="P31" i="23"/>
  <c r="Z31" i="23"/>
  <c r="M30" i="23"/>
  <c r="W30" i="23"/>
  <c r="AG30" i="23"/>
  <c r="R30" i="23"/>
  <c r="AB30" i="23"/>
  <c r="AE36" i="23"/>
  <c r="P36" i="23"/>
  <c r="Z36" i="23"/>
  <c r="K36" i="23"/>
  <c r="U36" i="23"/>
  <c r="T35" i="23"/>
  <c r="AD35" i="23"/>
  <c r="O35" i="23"/>
  <c r="Y35" i="23"/>
  <c r="J35" i="23"/>
  <c r="AH33" i="23"/>
  <c r="S33" i="23"/>
  <c r="AC33" i="23"/>
  <c r="N33" i="23"/>
  <c r="X33" i="23"/>
  <c r="R35" i="23"/>
  <c r="AB35" i="23"/>
  <c r="AG35" i="23"/>
  <c r="M35" i="23"/>
  <c r="W35" i="23"/>
  <c r="K32" i="23"/>
  <c r="U32" i="23"/>
  <c r="AE32" i="23"/>
  <c r="P32" i="23"/>
  <c r="Z32" i="23"/>
  <c r="AB26" i="23"/>
  <c r="R26" i="23"/>
  <c r="M26" i="23"/>
  <c r="W26" i="23"/>
  <c r="AG26" i="23"/>
  <c r="R24" i="23"/>
  <c r="AG24" i="23"/>
  <c r="AB24" i="23"/>
  <c r="M24" i="23"/>
  <c r="W24" i="23"/>
  <c r="P25" i="23"/>
  <c r="AE25" i="23"/>
  <c r="Z25" i="23"/>
  <c r="K25" i="23"/>
  <c r="U25" i="23"/>
  <c r="Q25" i="23"/>
  <c r="AA25" i="23"/>
  <c r="L25" i="23"/>
  <c r="V25" i="23"/>
  <c r="AF25" i="23"/>
  <c r="Q24" i="23"/>
  <c r="AF24" i="23"/>
  <c r="AA24" i="23"/>
  <c r="L24" i="23"/>
  <c r="V24" i="23"/>
  <c r="Q26" i="23"/>
  <c r="AA26" i="23"/>
  <c r="L26" i="23"/>
  <c r="V26" i="23"/>
  <c r="AF26" i="23"/>
  <c r="L29" i="23"/>
  <c r="V29" i="23"/>
  <c r="AA29" i="23"/>
  <c r="AF29" i="23"/>
  <c r="Q29" i="23"/>
  <c r="AF23" i="23"/>
  <c r="Q23" i="23"/>
  <c r="AA23" i="23"/>
  <c r="V23" i="23"/>
  <c r="L23" i="23"/>
  <c r="S24" i="23"/>
  <c r="AC24" i="23"/>
  <c r="N24" i="23"/>
  <c r="X24" i="23"/>
  <c r="AH24" i="23"/>
  <c r="AF22" i="23"/>
  <c r="Q22" i="23"/>
  <c r="AA22" i="23"/>
  <c r="V22" i="23"/>
  <c r="L22" i="23"/>
  <c r="M28" i="23"/>
  <c r="AB28" i="23"/>
  <c r="W28" i="23"/>
  <c r="AG28" i="23"/>
  <c r="R28" i="23"/>
  <c r="AE26" i="23"/>
  <c r="P26" i="23"/>
  <c r="Z26" i="23"/>
  <c r="K26" i="23"/>
  <c r="U22" i="23"/>
  <c r="AE22" i="23"/>
  <c r="P22" i="23"/>
  <c r="Z22" i="23"/>
  <c r="K22" i="23"/>
  <c r="S23" i="23"/>
  <c r="AC23" i="23"/>
  <c r="N23" i="23"/>
  <c r="AH23" i="23"/>
  <c r="X23" i="23"/>
  <c r="R25" i="23"/>
  <c r="AB25" i="23"/>
  <c r="M25" i="23"/>
  <c r="W25" i="23"/>
  <c r="AG25" i="23"/>
  <c r="Z29" i="23"/>
  <c r="K29" i="23"/>
  <c r="P29" i="23"/>
  <c r="U29" i="23"/>
  <c r="AE29" i="23"/>
  <c r="AD24" i="23"/>
  <c r="T24" i="23"/>
  <c r="O24" i="23"/>
  <c r="Y24" i="23"/>
  <c r="J24" i="23"/>
  <c r="M29" i="23"/>
  <c r="W29" i="23"/>
  <c r="AG29" i="23"/>
  <c r="R29" i="23"/>
  <c r="AB29" i="23"/>
  <c r="AD25" i="23"/>
  <c r="O25" i="23"/>
  <c r="Y25" i="23"/>
  <c r="T25" i="23"/>
  <c r="J25" i="23"/>
  <c r="AH22" i="23"/>
  <c r="S22" i="23"/>
  <c r="AC22" i="23"/>
  <c r="N22" i="23"/>
  <c r="X22" i="23"/>
  <c r="Y29" i="23"/>
  <c r="J29" i="23"/>
  <c r="O29" i="23"/>
  <c r="T29" i="23"/>
  <c r="AD29" i="23"/>
  <c r="R23" i="23"/>
  <c r="AB23" i="23"/>
  <c r="M23" i="23"/>
  <c r="AG23" i="23"/>
  <c r="W23" i="23"/>
  <c r="O26" i="23"/>
  <c r="Y26" i="23"/>
  <c r="J26" i="23"/>
  <c r="AD26" i="23"/>
  <c r="T26" i="23"/>
  <c r="T23" i="23"/>
  <c r="AD23" i="23"/>
  <c r="O23" i="23"/>
  <c r="Y23" i="23"/>
  <c r="J23" i="23"/>
  <c r="P27" i="23"/>
  <c r="Z27" i="23"/>
  <c r="K27" i="23"/>
  <c r="U27" i="23"/>
  <c r="AE27" i="23"/>
  <c r="AA28" i="23"/>
  <c r="L28" i="23"/>
  <c r="V28" i="23"/>
  <c r="Q28" i="23"/>
  <c r="AF28" i="23"/>
  <c r="AE23" i="23"/>
  <c r="P23" i="23"/>
  <c r="U23" i="23"/>
  <c r="Z23" i="23"/>
  <c r="K23" i="23"/>
  <c r="AG22" i="23"/>
  <c r="R22" i="23"/>
  <c r="AB22" i="23"/>
  <c r="W22" i="23"/>
  <c r="M22" i="23"/>
  <c r="Z28" i="23"/>
  <c r="K28" i="23"/>
  <c r="U28" i="23"/>
  <c r="AE28" i="23"/>
  <c r="P28" i="23"/>
  <c r="O27" i="23"/>
  <c r="Y27" i="23"/>
  <c r="J27" i="23"/>
  <c r="AD27" i="23"/>
  <c r="T27" i="23"/>
  <c r="T22" i="23"/>
  <c r="J22" i="23"/>
  <c r="AD22" i="23"/>
  <c r="Y22" i="23"/>
  <c r="AC25" i="23"/>
  <c r="N25" i="23"/>
  <c r="S25" i="23"/>
  <c r="X25" i="23"/>
  <c r="AH25" i="23"/>
  <c r="AB27" i="23"/>
  <c r="R27" i="23"/>
  <c r="M27" i="23"/>
  <c r="W27" i="23"/>
  <c r="AG27" i="23"/>
  <c r="AE24" i="23"/>
  <c r="P24" i="23"/>
  <c r="U24" i="23"/>
  <c r="Z24" i="23"/>
  <c r="K24" i="23"/>
  <c r="Y14" i="23"/>
  <c r="Y6" i="23"/>
  <c r="Z17" i="23"/>
  <c r="Z9" i="23"/>
  <c r="AA21" i="23"/>
  <c r="AA13" i="23"/>
  <c r="AB18" i="23"/>
  <c r="AB10" i="23"/>
  <c r="AB16" i="23"/>
  <c r="AB8" i="23"/>
  <c r="AA9" i="23"/>
  <c r="AA17" i="23"/>
  <c r="AA16" i="23"/>
  <c r="AA8" i="23"/>
  <c r="AA18" i="23"/>
  <c r="AA10" i="23"/>
  <c r="AA7" i="23"/>
  <c r="AA15" i="23"/>
  <c r="AC16" i="23"/>
  <c r="AC8" i="23"/>
  <c r="AA14" i="23"/>
  <c r="AA6" i="23"/>
  <c r="AB20" i="23"/>
  <c r="AB12" i="23"/>
  <c r="Z18" i="23"/>
  <c r="Z10" i="23"/>
  <c r="Z14" i="23"/>
  <c r="Z6" i="23"/>
  <c r="AC15" i="23"/>
  <c r="AC7" i="23"/>
  <c r="AB9" i="23"/>
  <c r="AB17" i="23"/>
  <c r="Z21" i="23"/>
  <c r="Z13" i="23"/>
  <c r="Y16" i="23"/>
  <c r="Y8" i="23"/>
  <c r="AB21" i="23"/>
  <c r="AB13" i="23"/>
  <c r="Y17" i="23"/>
  <c r="Y9" i="23"/>
  <c r="AC14" i="23"/>
  <c r="AC6" i="23"/>
  <c r="Y21" i="23"/>
  <c r="Y13" i="23"/>
  <c r="AB7" i="23"/>
  <c r="AB15" i="23"/>
  <c r="Y10" i="23"/>
  <c r="Y18" i="23"/>
  <c r="Y7" i="23"/>
  <c r="Y15" i="23"/>
  <c r="AA12" i="23"/>
  <c r="AA20" i="23"/>
  <c r="Z7" i="23"/>
  <c r="Z15" i="23"/>
  <c r="AB14" i="23"/>
  <c r="AB6" i="23"/>
  <c r="Z12" i="23"/>
  <c r="Z20" i="23"/>
  <c r="Y19" i="23"/>
  <c r="Y11" i="23"/>
  <c r="Z19" i="23"/>
  <c r="Z11" i="23"/>
  <c r="AC9" i="23"/>
  <c r="AC17" i="23"/>
  <c r="AB19" i="23"/>
  <c r="AB11" i="23"/>
  <c r="Z16" i="23"/>
  <c r="Z8" i="23"/>
  <c r="AG18" i="23"/>
  <c r="AG16" i="23"/>
  <c r="AF21" i="23"/>
  <c r="AF17" i="23"/>
  <c r="AF16" i="23"/>
  <c r="AF18" i="23"/>
  <c r="AE17" i="23"/>
  <c r="AF15" i="23"/>
  <c r="AH16" i="23"/>
  <c r="AF14" i="23"/>
  <c r="AG20" i="23"/>
  <c r="AE18" i="23"/>
  <c r="AE14" i="23"/>
  <c r="AH15" i="23"/>
  <c r="AG17" i="23"/>
  <c r="AE21" i="23"/>
  <c r="AD16" i="23"/>
  <c r="AG21" i="23"/>
  <c r="AD17" i="23"/>
  <c r="AH14" i="23"/>
  <c r="AD21" i="23"/>
  <c r="AG15" i="23"/>
  <c r="AD18" i="23"/>
  <c r="AD15" i="23"/>
  <c r="AE19" i="23"/>
  <c r="AF20" i="23"/>
  <c r="AE15" i="23"/>
  <c r="AG14" i="23"/>
  <c r="AE20" i="23"/>
  <c r="AD19" i="23"/>
  <c r="AD14" i="23"/>
  <c r="AH17" i="23"/>
  <c r="AG19" i="23"/>
  <c r="AE16" i="23"/>
  <c r="R18" i="23"/>
  <c r="W18" i="23"/>
  <c r="R16" i="23"/>
  <c r="W16" i="23"/>
  <c r="Q21" i="23"/>
  <c r="V21" i="23"/>
  <c r="Q17" i="23"/>
  <c r="V17" i="23"/>
  <c r="Q16" i="23"/>
  <c r="V16" i="23"/>
  <c r="Q18" i="23"/>
  <c r="V18" i="23"/>
  <c r="P17" i="23"/>
  <c r="U17" i="23"/>
  <c r="Q15" i="23"/>
  <c r="V15" i="23"/>
  <c r="S16" i="23"/>
  <c r="X16" i="23"/>
  <c r="Q14" i="23"/>
  <c r="V14" i="23"/>
  <c r="R20" i="23"/>
  <c r="W20" i="23"/>
  <c r="P18" i="23"/>
  <c r="U18" i="23"/>
  <c r="P14" i="23"/>
  <c r="U14" i="23"/>
  <c r="S15" i="23"/>
  <c r="X15" i="23"/>
  <c r="R17" i="23"/>
  <c r="W17" i="23"/>
  <c r="P21" i="23"/>
  <c r="U21" i="23"/>
  <c r="O16" i="23"/>
  <c r="T16" i="23"/>
  <c r="R21" i="23"/>
  <c r="W21" i="23"/>
  <c r="O17" i="23"/>
  <c r="T17" i="23"/>
  <c r="S14" i="23"/>
  <c r="X14" i="23"/>
  <c r="O21" i="23"/>
  <c r="T21" i="23"/>
  <c r="R15" i="23"/>
  <c r="W15" i="23"/>
  <c r="O18" i="23"/>
  <c r="T18" i="23"/>
  <c r="O15" i="23"/>
  <c r="T15" i="23"/>
  <c r="P19" i="23"/>
  <c r="U19" i="23"/>
  <c r="Q20" i="23"/>
  <c r="V20" i="23"/>
  <c r="P15" i="23"/>
  <c r="U15" i="23"/>
  <c r="O14" i="23"/>
  <c r="T14" i="23"/>
  <c r="R14" i="23"/>
  <c r="W14" i="23"/>
  <c r="P20" i="23"/>
  <c r="U20" i="23"/>
  <c r="O19" i="23"/>
  <c r="T19" i="23"/>
  <c r="S17" i="23"/>
  <c r="X17" i="23"/>
  <c r="R19" i="23"/>
  <c r="W19" i="23"/>
  <c r="P16" i="23"/>
  <c r="U16" i="23"/>
  <c r="J14" i="23"/>
  <c r="M18" i="23"/>
  <c r="M16" i="23"/>
  <c r="L21" i="23"/>
  <c r="L17" i="23"/>
  <c r="L16" i="23"/>
  <c r="L18" i="23"/>
  <c r="K17" i="23"/>
  <c r="L15" i="23"/>
  <c r="N16" i="23"/>
  <c r="L14" i="23"/>
  <c r="M20" i="23"/>
  <c r="K18" i="23"/>
  <c r="M17" i="23"/>
  <c r="K14" i="23"/>
  <c r="N15" i="23"/>
  <c r="J16" i="23"/>
  <c r="M21" i="23"/>
  <c r="J17" i="23"/>
  <c r="K21" i="23"/>
  <c r="J21" i="23"/>
  <c r="M15" i="23"/>
  <c r="J18" i="23"/>
  <c r="J15" i="23"/>
  <c r="K19" i="23"/>
  <c r="L20" i="23"/>
  <c r="K15" i="23"/>
  <c r="M14" i="23"/>
  <c r="K20" i="23"/>
  <c r="J19" i="23"/>
  <c r="N14" i="23"/>
  <c r="N17" i="23"/>
  <c r="M19" i="23"/>
  <c r="K16" i="23"/>
  <c r="AF13" i="23"/>
  <c r="AG8" i="23"/>
  <c r="AF8" i="23"/>
  <c r="AF10" i="23"/>
  <c r="AG10" i="23"/>
  <c r="AF7" i="23"/>
  <c r="AH8" i="23"/>
  <c r="AF6" i="23"/>
  <c r="AE13" i="23"/>
  <c r="AG12" i="23"/>
  <c r="AE10" i="23"/>
  <c r="AE6" i="23"/>
  <c r="AH7" i="23"/>
  <c r="AG9" i="23"/>
  <c r="AE9" i="23"/>
  <c r="AD8" i="23"/>
  <c r="AD9" i="23"/>
  <c r="AH6" i="23"/>
  <c r="AG6" i="23"/>
  <c r="AD10" i="23"/>
  <c r="AE11" i="23"/>
  <c r="AF12" i="23"/>
  <c r="AE12" i="23"/>
  <c r="AD11" i="23"/>
  <c r="AH9" i="23"/>
  <c r="AG11" i="23"/>
  <c r="AD6" i="23"/>
  <c r="AF9" i="23"/>
  <c r="AG13" i="23"/>
  <c r="AD13" i="23"/>
  <c r="AG7" i="23"/>
  <c r="AD7" i="23"/>
  <c r="AE7" i="23"/>
  <c r="AE8" i="23"/>
  <c r="U9" i="23"/>
  <c r="V13" i="23"/>
  <c r="W10" i="23"/>
  <c r="W8" i="23"/>
  <c r="U11" i="23"/>
  <c r="V8" i="23"/>
  <c r="V10" i="23"/>
  <c r="X6" i="23"/>
  <c r="V7" i="23"/>
  <c r="X8" i="23"/>
  <c r="V6" i="23"/>
  <c r="U13" i="23"/>
  <c r="W12" i="23"/>
  <c r="U10" i="23"/>
  <c r="U6" i="23"/>
  <c r="X7" i="23"/>
  <c r="W9" i="23"/>
  <c r="T8" i="23"/>
  <c r="T9" i="23"/>
  <c r="T10" i="23"/>
  <c r="V12" i="23"/>
  <c r="W6" i="23"/>
  <c r="U12" i="23"/>
  <c r="T11" i="23"/>
  <c r="X9" i="23"/>
  <c r="W11" i="23"/>
  <c r="Q9" i="23"/>
  <c r="V9" i="23"/>
  <c r="O6" i="23"/>
  <c r="T6" i="23"/>
  <c r="R13" i="23"/>
  <c r="W13" i="23"/>
  <c r="O13" i="23"/>
  <c r="T13" i="23"/>
  <c r="R7" i="23"/>
  <c r="W7" i="23"/>
  <c r="O7" i="23"/>
  <c r="T7" i="23"/>
  <c r="P7" i="23"/>
  <c r="U7" i="23"/>
  <c r="P8" i="23"/>
  <c r="U8" i="23"/>
  <c r="P9" i="23"/>
  <c r="Q13" i="23"/>
  <c r="R8" i="23"/>
  <c r="Q8" i="23"/>
  <c r="Q10" i="23"/>
  <c r="R10" i="23"/>
  <c r="Q7" i="23"/>
  <c r="S8" i="23"/>
  <c r="Q6" i="23"/>
  <c r="P13" i="23"/>
  <c r="R12" i="23"/>
  <c r="P10" i="23"/>
  <c r="P6" i="23"/>
  <c r="S7" i="23"/>
  <c r="R9" i="23"/>
  <c r="P11" i="23"/>
  <c r="O8" i="23"/>
  <c r="O9" i="23"/>
  <c r="O10" i="23"/>
  <c r="Q12" i="23"/>
  <c r="R6" i="23"/>
  <c r="P12" i="23"/>
  <c r="O11" i="23"/>
  <c r="S6" i="23"/>
  <c r="S9" i="23"/>
  <c r="R11" i="23"/>
  <c r="N8" i="23"/>
  <c r="N9" i="23"/>
  <c r="M10" i="23"/>
  <c r="M8" i="23"/>
  <c r="K9" i="23"/>
  <c r="L8" i="23"/>
  <c r="L10" i="23"/>
  <c r="L13" i="23"/>
  <c r="L7" i="23"/>
  <c r="L6" i="23"/>
  <c r="K13" i="23"/>
  <c r="M12" i="23"/>
  <c r="K10" i="23"/>
  <c r="K6" i="23"/>
  <c r="N7" i="23"/>
  <c r="M9" i="23"/>
  <c r="J9" i="23"/>
  <c r="J10" i="23"/>
  <c r="N6" i="23"/>
  <c r="L12" i="23"/>
  <c r="M6" i="23"/>
  <c r="K12" i="23"/>
  <c r="J11" i="23"/>
  <c r="K11" i="23"/>
  <c r="M11" i="23"/>
  <c r="M13" i="23"/>
  <c r="N56" i="1"/>
  <c r="M7" i="23"/>
  <c r="L9" i="23"/>
  <c r="N29" i="1"/>
  <c r="K8" i="23"/>
  <c r="N28" i="1"/>
  <c r="K7" i="23"/>
  <c r="J13" i="23"/>
  <c r="J7" i="23"/>
  <c r="J6" i="23"/>
  <c r="M7" i="1"/>
  <c r="AB7" i="1" s="1"/>
  <c r="AA7" i="1" s="1"/>
  <c r="AC7" i="1" s="1"/>
  <c r="N7" i="1"/>
  <c r="M56" i="1"/>
  <c r="AB56" i="1" s="1"/>
  <c r="AA56" i="1" s="1"/>
  <c r="M68" i="1"/>
  <c r="AB68" i="1" s="1"/>
  <c r="AA68" i="1" s="1"/>
  <c r="N68" i="1"/>
  <c r="N63" i="1"/>
  <c r="M63" i="1"/>
  <c r="AB63" i="1" s="1"/>
  <c r="AA63" i="1" s="1"/>
  <c r="AC63" i="1" s="1"/>
  <c r="N70" i="1"/>
  <c r="M70" i="1"/>
  <c r="AB70" i="1" s="1"/>
  <c r="AA70" i="1" s="1"/>
  <c r="M64" i="1"/>
  <c r="AB64" i="1" s="1"/>
  <c r="AA64" i="1" s="1"/>
  <c r="AC64" i="1" s="1"/>
  <c r="N64" i="1"/>
  <c r="M72" i="1"/>
  <c r="AB72" i="1" s="1"/>
  <c r="AA72" i="1" s="1"/>
  <c r="N72" i="1"/>
  <c r="N66" i="1"/>
  <c r="M66" i="1"/>
  <c r="AB66" i="1" s="1"/>
  <c r="AA66" i="1" s="1"/>
  <c r="M61" i="1"/>
  <c r="AB61" i="1" s="1"/>
  <c r="AA61" i="1" s="1"/>
  <c r="N61" i="1"/>
  <c r="M57" i="1"/>
  <c r="AB57" i="1" s="1"/>
  <c r="AA57" i="1" s="1"/>
  <c r="N57" i="1"/>
  <c r="M58" i="1"/>
  <c r="AB58" i="1" s="1"/>
  <c r="AA58" i="1" s="1"/>
  <c r="N58" i="1"/>
  <c r="N60" i="1"/>
  <c r="M60" i="1"/>
  <c r="AB60" i="1" s="1"/>
  <c r="AA60" i="1" s="1"/>
  <c r="M53" i="1"/>
  <c r="AB53" i="1" s="1"/>
  <c r="AA53" i="1" s="1"/>
  <c r="N53" i="1"/>
  <c r="M47" i="1"/>
  <c r="AB47" i="1" s="1"/>
  <c r="AA47" i="1" s="1"/>
  <c r="AC47" i="1" s="1"/>
  <c r="N47" i="1"/>
  <c r="M40" i="1"/>
  <c r="AB40" i="1" s="1"/>
  <c r="AA40" i="1" s="1"/>
  <c r="N40" i="1"/>
  <c r="M48" i="1"/>
  <c r="AB48" i="1" s="1"/>
  <c r="AA48" i="1" s="1"/>
  <c r="N48" i="1"/>
  <c r="M51" i="1"/>
  <c r="AB51" i="1" s="1"/>
  <c r="AA51" i="1" s="1"/>
  <c r="N51" i="1"/>
  <c r="M45" i="1"/>
  <c r="AB45" i="1" s="1"/>
  <c r="AA45" i="1" s="1"/>
  <c r="N45" i="1"/>
  <c r="M42" i="1"/>
  <c r="AB42" i="1" s="1"/>
  <c r="AA42" i="1" s="1"/>
  <c r="N42" i="1"/>
  <c r="M39" i="1"/>
  <c r="AB39" i="1" s="1"/>
  <c r="AA39" i="1" s="1"/>
  <c r="N39" i="1"/>
  <c r="M44" i="1"/>
  <c r="AB44" i="1" s="1"/>
  <c r="AA44" i="1" s="1"/>
  <c r="N44" i="1"/>
  <c r="M37" i="1"/>
  <c r="AB37" i="1" s="1"/>
  <c r="AA37" i="1" s="1"/>
  <c r="N37" i="1"/>
  <c r="M36" i="1"/>
  <c r="AB36" i="1" s="1"/>
  <c r="AA36" i="1" s="1"/>
  <c r="N36" i="1"/>
  <c r="M34" i="1"/>
  <c r="AB34" i="1" s="1"/>
  <c r="AA34" i="1" s="1"/>
  <c r="N34" i="1"/>
  <c r="M32" i="1"/>
  <c r="AB32" i="1" s="1"/>
  <c r="AA32" i="1" s="1"/>
  <c r="N32" i="1"/>
  <c r="M26" i="1"/>
  <c r="AB26" i="1" s="1"/>
  <c r="AA26" i="1" s="1"/>
  <c r="N26" i="1"/>
  <c r="M9" i="1"/>
  <c r="AB9" i="1" s="1"/>
  <c r="AA9" i="1" s="1"/>
  <c r="N9" i="1"/>
  <c r="M28" i="1"/>
  <c r="AB28" i="1" s="1"/>
  <c r="AA28" i="1" s="1"/>
  <c r="M27" i="1"/>
  <c r="AB27" i="1" s="1"/>
  <c r="AA27" i="1" s="1"/>
  <c r="N27" i="1"/>
  <c r="N17" i="1"/>
  <c r="M17" i="1"/>
  <c r="AB17" i="1" s="1"/>
  <c r="AA17" i="1" s="1"/>
  <c r="N15" i="1"/>
  <c r="M15" i="1"/>
  <c r="AB15" i="1" s="1"/>
  <c r="AA15" i="1" s="1"/>
  <c r="L23" i="1"/>
  <c r="M29" i="1"/>
  <c r="AB29" i="1" s="1"/>
  <c r="AA29" i="1" s="1"/>
  <c r="N19" i="1"/>
  <c r="M19" i="1"/>
  <c r="AB19" i="1" s="1"/>
  <c r="AA19" i="1" s="1"/>
  <c r="N21" i="1"/>
  <c r="M21" i="1"/>
  <c r="AB21" i="1" s="1"/>
  <c r="AA21" i="1" s="1"/>
  <c r="M30" i="1"/>
  <c r="AB30" i="1" s="1"/>
  <c r="AA30" i="1" s="1"/>
  <c r="N30" i="1"/>
  <c r="AC70" i="1" l="1"/>
  <c r="S24" i="24"/>
  <c r="N40" i="24"/>
  <c r="AH32" i="24"/>
  <c r="N16" i="24"/>
  <c r="AH8" i="24"/>
  <c r="AC24" i="24"/>
  <c r="X40" i="24"/>
  <c r="X16" i="24"/>
  <c r="S32" i="24"/>
  <c r="S8" i="24"/>
  <c r="AH40" i="24"/>
  <c r="N24" i="24"/>
  <c r="AH16" i="24"/>
  <c r="AC32" i="24"/>
  <c r="AC8" i="24"/>
  <c r="X24" i="24"/>
  <c r="S40" i="24"/>
  <c r="S16" i="24"/>
  <c r="N32" i="24"/>
  <c r="AH24" i="24"/>
  <c r="AC40" i="24"/>
  <c r="AC16" i="24"/>
  <c r="X32" i="24"/>
  <c r="X8" i="24"/>
  <c r="N8" i="24"/>
  <c r="AC36" i="1"/>
  <c r="K44" i="24"/>
  <c r="AE36" i="24"/>
  <c r="K20" i="24"/>
  <c r="AE12" i="24"/>
  <c r="Z28" i="24"/>
  <c r="U44" i="24"/>
  <c r="U20" i="24"/>
  <c r="P36" i="24"/>
  <c r="P12" i="24"/>
  <c r="AE44" i="24"/>
  <c r="K28" i="24"/>
  <c r="AE20" i="24"/>
  <c r="Z36" i="24"/>
  <c r="Z12" i="24"/>
  <c r="U28" i="24"/>
  <c r="P44" i="24"/>
  <c r="P20" i="24"/>
  <c r="K36" i="24"/>
  <c r="AE28" i="24"/>
  <c r="K12" i="24"/>
  <c r="Z44" i="24"/>
  <c r="Z20" i="24"/>
  <c r="U36" i="24"/>
  <c r="U12" i="24"/>
  <c r="P28" i="24"/>
  <c r="AC51" i="1"/>
  <c r="V45" i="24"/>
  <c r="V21" i="24"/>
  <c r="Q37" i="24"/>
  <c r="Q13" i="24"/>
  <c r="AF45" i="24"/>
  <c r="L29" i="24"/>
  <c r="AF21" i="24"/>
  <c r="AA37" i="24"/>
  <c r="AA13" i="24"/>
  <c r="V29" i="24"/>
  <c r="Q45" i="24"/>
  <c r="Q21" i="24"/>
  <c r="L37" i="24"/>
  <c r="AF29" i="24"/>
  <c r="L13" i="24"/>
  <c r="AA45" i="24"/>
  <c r="AA21" i="24"/>
  <c r="V37" i="24"/>
  <c r="V13" i="24"/>
  <c r="Q29" i="24"/>
  <c r="L45" i="24"/>
  <c r="AF37" i="24"/>
  <c r="L21" i="24"/>
  <c r="AF13" i="24"/>
  <c r="AA29" i="24"/>
  <c r="AC58" i="1"/>
  <c r="R25" i="24"/>
  <c r="M41" i="24"/>
  <c r="AG33" i="24"/>
  <c r="M17" i="24"/>
  <c r="AG9" i="24"/>
  <c r="AB25" i="24"/>
  <c r="W41" i="24"/>
  <c r="W17" i="24"/>
  <c r="R33" i="24"/>
  <c r="R9" i="24"/>
  <c r="AG41" i="24"/>
  <c r="M25" i="24"/>
  <c r="AG17" i="24"/>
  <c r="AB33" i="24"/>
  <c r="AB9" i="24"/>
  <c r="W25" i="24"/>
  <c r="R41" i="24"/>
  <c r="R17" i="24"/>
  <c r="M33" i="24"/>
  <c r="AG25" i="24"/>
  <c r="AB41" i="24"/>
  <c r="AB17" i="24"/>
  <c r="W9" i="24"/>
  <c r="M9" i="24"/>
  <c r="W33" i="24"/>
  <c r="AC60" i="1"/>
  <c r="M42" i="24"/>
  <c r="AG34" i="24"/>
  <c r="M18" i="24"/>
  <c r="AG10" i="24"/>
  <c r="AB26" i="24"/>
  <c r="W42" i="24"/>
  <c r="W18" i="24"/>
  <c r="R34" i="24"/>
  <c r="AG42" i="24"/>
  <c r="M26" i="24"/>
  <c r="AG18" i="24"/>
  <c r="AB34" i="24"/>
  <c r="AB10" i="24"/>
  <c r="W26" i="24"/>
  <c r="R42" i="24"/>
  <c r="R18" i="24"/>
  <c r="M34" i="24"/>
  <c r="AG26" i="24"/>
  <c r="M10" i="24"/>
  <c r="AB42" i="24"/>
  <c r="AB18" i="24"/>
  <c r="W34" i="24"/>
  <c r="W10" i="24"/>
  <c r="R26" i="24"/>
  <c r="R10" i="24"/>
  <c r="AC45" i="1"/>
  <c r="Q26" i="24"/>
  <c r="L42" i="24"/>
  <c r="AF34" i="24"/>
  <c r="L18" i="24"/>
  <c r="AF10" i="24"/>
  <c r="AA26" i="24"/>
  <c r="V42" i="24"/>
  <c r="V18" i="24"/>
  <c r="Q34" i="24"/>
  <c r="Q10" i="24"/>
  <c r="AF42" i="24"/>
  <c r="L26" i="24"/>
  <c r="AF18" i="24"/>
  <c r="AA34" i="24"/>
  <c r="AA10" i="24"/>
  <c r="V26" i="24"/>
  <c r="Q42" i="24"/>
  <c r="Q18" i="24"/>
  <c r="L34" i="24"/>
  <c r="AF26" i="24"/>
  <c r="AA42" i="24"/>
  <c r="AA18" i="24"/>
  <c r="V34" i="24"/>
  <c r="V10" i="24"/>
  <c r="L10" i="24"/>
  <c r="AC27" i="1"/>
  <c r="U22" i="24"/>
  <c r="K6" i="24"/>
  <c r="P38" i="24"/>
  <c r="P14" i="24"/>
  <c r="K30" i="24"/>
  <c r="AE22" i="24"/>
  <c r="Z38" i="24"/>
  <c r="Z14" i="24"/>
  <c r="U30" i="24"/>
  <c r="U6" i="24"/>
  <c r="U14" i="24"/>
  <c r="P22" i="24"/>
  <c r="K38" i="24"/>
  <c r="AE30" i="24"/>
  <c r="K14" i="24"/>
  <c r="AE6" i="24"/>
  <c r="Z22" i="24"/>
  <c r="U38" i="24"/>
  <c r="P30" i="24"/>
  <c r="AE38" i="24"/>
  <c r="K22" i="24"/>
  <c r="AE14" i="24"/>
  <c r="Z6" i="24"/>
  <c r="Z30" i="24"/>
  <c r="P6" i="24"/>
  <c r="W44" i="24"/>
  <c r="W20" i="24"/>
  <c r="R36" i="24"/>
  <c r="R12" i="24"/>
  <c r="AG44" i="24"/>
  <c r="M28" i="24"/>
  <c r="AG20" i="24"/>
  <c r="AB36" i="24"/>
  <c r="AB12" i="24"/>
  <c r="W28" i="24"/>
  <c r="W12" i="24"/>
  <c r="R44" i="24"/>
  <c r="R20" i="24"/>
  <c r="M36" i="24"/>
  <c r="AG28" i="24"/>
  <c r="M12" i="24"/>
  <c r="AB44" i="24"/>
  <c r="AB20" i="24"/>
  <c r="W36" i="24"/>
  <c r="R28" i="24"/>
  <c r="M44" i="24"/>
  <c r="AG36" i="24"/>
  <c r="M20" i="24"/>
  <c r="AG12" i="24"/>
  <c r="AB28" i="24"/>
  <c r="AC34" i="1"/>
  <c r="P27" i="24"/>
  <c r="K43" i="24"/>
  <c r="AE35" i="24"/>
  <c r="K19" i="24"/>
  <c r="AE11" i="24"/>
  <c r="Z27" i="24"/>
  <c r="U43" i="24"/>
  <c r="U19" i="24"/>
  <c r="P35" i="24"/>
  <c r="P11" i="24"/>
  <c r="AE43" i="24"/>
  <c r="K27" i="24"/>
  <c r="AE19" i="24"/>
  <c r="Z35" i="24"/>
  <c r="Z11" i="24"/>
  <c r="U27" i="24"/>
  <c r="P43" i="24"/>
  <c r="P19" i="24"/>
  <c r="K35" i="24"/>
  <c r="AE27" i="24"/>
  <c r="Z43" i="24"/>
  <c r="Z19" i="24"/>
  <c r="U11" i="24"/>
  <c r="K11" i="24"/>
  <c r="U35" i="24"/>
  <c r="AC28" i="1"/>
  <c r="P39" i="24"/>
  <c r="P15" i="24"/>
  <c r="K31" i="24"/>
  <c r="AE23" i="24"/>
  <c r="K7" i="24"/>
  <c r="Z39" i="24"/>
  <c r="Z15" i="24"/>
  <c r="U31" i="24"/>
  <c r="P23" i="24"/>
  <c r="K39" i="24"/>
  <c r="AE31" i="24"/>
  <c r="K15" i="24"/>
  <c r="AE7" i="24"/>
  <c r="P7" i="24"/>
  <c r="Z23" i="24"/>
  <c r="U39" i="24"/>
  <c r="U15" i="24"/>
  <c r="P31" i="24"/>
  <c r="AE39" i="24"/>
  <c r="K23" i="24"/>
  <c r="AE15" i="24"/>
  <c r="Z31" i="24"/>
  <c r="Z7" i="24"/>
  <c r="U7" i="24"/>
  <c r="U23" i="24"/>
  <c r="AC57" i="1"/>
  <c r="W32" i="24"/>
  <c r="W8" i="24"/>
  <c r="M16" i="24"/>
  <c r="R24" i="24"/>
  <c r="M40" i="24"/>
  <c r="AG32" i="24"/>
  <c r="AG8" i="24"/>
  <c r="AB24" i="24"/>
  <c r="W40" i="24"/>
  <c r="W16" i="24"/>
  <c r="W24" i="24"/>
  <c r="R32" i="24"/>
  <c r="R8" i="24"/>
  <c r="AG40" i="24"/>
  <c r="M24" i="24"/>
  <c r="AG16" i="24"/>
  <c r="AB32" i="24"/>
  <c r="AB8" i="24"/>
  <c r="R40" i="24"/>
  <c r="R16" i="24"/>
  <c r="M32" i="24"/>
  <c r="AG24" i="24"/>
  <c r="M8" i="24"/>
  <c r="AB40" i="24"/>
  <c r="AB16" i="24"/>
  <c r="J33" i="24"/>
  <c r="AD25" i="24"/>
  <c r="J9" i="24"/>
  <c r="Y41" i="24"/>
  <c r="Y17" i="24"/>
  <c r="T9" i="24"/>
  <c r="T33" i="24"/>
  <c r="O25" i="24"/>
  <c r="J41" i="24"/>
  <c r="AD33" i="24"/>
  <c r="J17" i="24"/>
  <c r="AD9" i="24"/>
  <c r="AD17" i="24"/>
  <c r="Y25" i="24"/>
  <c r="T41" i="24"/>
  <c r="T17" i="24"/>
  <c r="J25" i="24"/>
  <c r="O33" i="24"/>
  <c r="O9" i="24"/>
  <c r="AD41" i="24"/>
  <c r="Y33" i="24"/>
  <c r="T25" i="24"/>
  <c r="O41" i="24"/>
  <c r="Y9" i="24"/>
  <c r="O17" i="24"/>
  <c r="AC19" i="1"/>
  <c r="Y42" i="24"/>
  <c r="Y18" i="24"/>
  <c r="T34" i="24"/>
  <c r="T10" i="24"/>
  <c r="O26" i="24"/>
  <c r="J42" i="24"/>
  <c r="AD34" i="24"/>
  <c r="J18" i="24"/>
  <c r="Y26" i="24"/>
  <c r="Y10" i="24"/>
  <c r="T42" i="24"/>
  <c r="T18" i="24"/>
  <c r="O34" i="24"/>
  <c r="O10" i="24"/>
  <c r="AD42" i="24"/>
  <c r="J26" i="24"/>
  <c r="AD18" i="24"/>
  <c r="Y34" i="24"/>
  <c r="T26" i="24"/>
  <c r="O42" i="24"/>
  <c r="O18" i="24"/>
  <c r="J10" i="24"/>
  <c r="AD10" i="24"/>
  <c r="AD26" i="24"/>
  <c r="J34" i="24"/>
  <c r="T23" i="24"/>
  <c r="O39" i="24"/>
  <c r="O15" i="24"/>
  <c r="J31" i="24"/>
  <c r="AD23" i="24"/>
  <c r="J7" i="24"/>
  <c r="Y39" i="24"/>
  <c r="Y15" i="24"/>
  <c r="T31" i="24"/>
  <c r="T7" i="24"/>
  <c r="O23" i="24"/>
  <c r="J39" i="24"/>
  <c r="AD31" i="24"/>
  <c r="J15" i="24"/>
  <c r="AD7" i="24"/>
  <c r="Y23" i="24"/>
  <c r="T39" i="24"/>
  <c r="T15" i="24"/>
  <c r="O31" i="24"/>
  <c r="AD39" i="24"/>
  <c r="J23" i="24"/>
  <c r="AD15" i="24"/>
  <c r="Y31" i="24"/>
  <c r="O7" i="24"/>
  <c r="Y7" i="24"/>
  <c r="AC44" i="1"/>
  <c r="V33" i="24"/>
  <c r="V9" i="24"/>
  <c r="Q25" i="24"/>
  <c r="L41" i="24"/>
  <c r="AF33" i="24"/>
  <c r="L17" i="24"/>
  <c r="AF9" i="24"/>
  <c r="AA25" i="24"/>
  <c r="V41" i="24"/>
  <c r="V17" i="24"/>
  <c r="Q33" i="24"/>
  <c r="Q9" i="24"/>
  <c r="V25" i="24"/>
  <c r="AF41" i="24"/>
  <c r="L25" i="24"/>
  <c r="AF17" i="24"/>
  <c r="AA33" i="24"/>
  <c r="AA9" i="24"/>
  <c r="Q41" i="24"/>
  <c r="Q17" i="24"/>
  <c r="L33" i="24"/>
  <c r="AF25" i="24"/>
  <c r="L9" i="24"/>
  <c r="AA41" i="24"/>
  <c r="AA17" i="24"/>
  <c r="AC40" i="1"/>
  <c r="L31" i="24"/>
  <c r="AF23" i="24"/>
  <c r="L7" i="24"/>
  <c r="AA39" i="24"/>
  <c r="AA15" i="24"/>
  <c r="V7" i="24"/>
  <c r="V31" i="24"/>
  <c r="Q23" i="24"/>
  <c r="L39" i="24"/>
  <c r="AF31" i="24"/>
  <c r="L15" i="24"/>
  <c r="AF7" i="24"/>
  <c r="AF15" i="24"/>
  <c r="AA23" i="24"/>
  <c r="V39" i="24"/>
  <c r="V15" i="24"/>
  <c r="Q31" i="24"/>
  <c r="Q7" i="24"/>
  <c r="AF39" i="24"/>
  <c r="L23" i="24"/>
  <c r="AA31" i="24"/>
  <c r="V23" i="24"/>
  <c r="Q39" i="24"/>
  <c r="AA7" i="24"/>
  <c r="Q15" i="24"/>
  <c r="AC61" i="1"/>
  <c r="AB27" i="24"/>
  <c r="R11" i="24"/>
  <c r="W43" i="24"/>
  <c r="W19" i="24"/>
  <c r="R35" i="24"/>
  <c r="AG43" i="24"/>
  <c r="M27" i="24"/>
  <c r="AG19" i="24"/>
  <c r="AB35" i="24"/>
  <c r="AB11" i="24"/>
  <c r="W27" i="24"/>
  <c r="R43" i="24"/>
  <c r="R19" i="24"/>
  <c r="M35" i="24"/>
  <c r="AG27" i="24"/>
  <c r="M11" i="24"/>
  <c r="AB43" i="24"/>
  <c r="AB19" i="24"/>
  <c r="W35" i="24"/>
  <c r="R27" i="24"/>
  <c r="M43" i="24"/>
  <c r="AG35" i="24"/>
  <c r="AG11" i="24"/>
  <c r="M19" i="24"/>
  <c r="W11" i="24"/>
  <c r="AC68" i="1"/>
  <c r="X31" i="24"/>
  <c r="X7" i="24"/>
  <c r="N15" i="24"/>
  <c r="AH7" i="24"/>
  <c r="S23" i="24"/>
  <c r="N39" i="24"/>
  <c r="AH31" i="24"/>
  <c r="AC23" i="24"/>
  <c r="X39" i="24"/>
  <c r="X15" i="24"/>
  <c r="S31" i="24"/>
  <c r="S7" i="24"/>
  <c r="AH39" i="24"/>
  <c r="N23" i="24"/>
  <c r="AH15" i="24"/>
  <c r="AC31" i="24"/>
  <c r="AC7" i="24"/>
  <c r="X23" i="24"/>
  <c r="S39" i="24"/>
  <c r="S15" i="24"/>
  <c r="N31" i="24"/>
  <c r="AH23" i="24"/>
  <c r="N7" i="24"/>
  <c r="AC39" i="24"/>
  <c r="AC15" i="24"/>
  <c r="AC21" i="1"/>
  <c r="T35" i="24"/>
  <c r="T11" i="24"/>
  <c r="J19" i="24"/>
  <c r="O27" i="24"/>
  <c r="J43" i="24"/>
  <c r="AD35" i="24"/>
  <c r="AD11" i="24"/>
  <c r="Y27" i="24"/>
  <c r="T43" i="24"/>
  <c r="T19" i="24"/>
  <c r="O35" i="24"/>
  <c r="O11" i="24"/>
  <c r="AD43" i="24"/>
  <c r="J27" i="24"/>
  <c r="AD19" i="24"/>
  <c r="Y35" i="24"/>
  <c r="Y11" i="24"/>
  <c r="T27" i="24"/>
  <c r="O43" i="24"/>
  <c r="O19" i="24"/>
  <c r="J35" i="24"/>
  <c r="AD27" i="24"/>
  <c r="J11" i="24"/>
  <c r="Y43" i="24"/>
  <c r="Y19" i="24"/>
  <c r="AC66" i="1"/>
  <c r="AC38" i="24"/>
  <c r="AC14" i="24"/>
  <c r="X30" i="24"/>
  <c r="X6" i="24"/>
  <c r="S22" i="24"/>
  <c r="N38" i="24"/>
  <c r="AH30" i="24"/>
  <c r="N14" i="24"/>
  <c r="AC22" i="24"/>
  <c r="X38" i="24"/>
  <c r="X14" i="24"/>
  <c r="S30" i="24"/>
  <c r="S6" i="24"/>
  <c r="AH38" i="24"/>
  <c r="N22" i="24"/>
  <c r="AH14" i="24"/>
  <c r="AC6" i="24"/>
  <c r="AC30" i="24"/>
  <c r="X22" i="24"/>
  <c r="S38" i="24"/>
  <c r="S14" i="24"/>
  <c r="N6" i="24"/>
  <c r="N30" i="24"/>
  <c r="AH22" i="24"/>
  <c r="AH6" i="24"/>
  <c r="AC56" i="1"/>
  <c r="AB39" i="24"/>
  <c r="AB15" i="24"/>
  <c r="W31" i="24"/>
  <c r="W7" i="24"/>
  <c r="R23" i="24"/>
  <c r="M39" i="24"/>
  <c r="AG31" i="24"/>
  <c r="M15" i="24"/>
  <c r="AB23" i="24"/>
  <c r="AB7" i="24"/>
  <c r="W39" i="24"/>
  <c r="W15" i="24"/>
  <c r="R31" i="24"/>
  <c r="R7" i="24"/>
  <c r="AG39" i="24"/>
  <c r="M23" i="24"/>
  <c r="AG15" i="24"/>
  <c r="AB31" i="24"/>
  <c r="W23" i="24"/>
  <c r="R39" i="24"/>
  <c r="R15" i="24"/>
  <c r="M31" i="24"/>
  <c r="AG7" i="24"/>
  <c r="AG23" i="24"/>
  <c r="M7" i="24"/>
  <c r="AC29" i="1"/>
  <c r="K32" i="24"/>
  <c r="AE24" i="24"/>
  <c r="K8" i="24"/>
  <c r="Z40" i="24"/>
  <c r="Z16" i="24"/>
  <c r="U32" i="24"/>
  <c r="U8" i="24"/>
  <c r="P24" i="24"/>
  <c r="K40" i="24"/>
  <c r="AE32" i="24"/>
  <c r="K16" i="24"/>
  <c r="AE8" i="24"/>
  <c r="Z24" i="24"/>
  <c r="AE16" i="24"/>
  <c r="U40" i="24"/>
  <c r="U16" i="24"/>
  <c r="P32" i="24"/>
  <c r="P8" i="24"/>
  <c r="AE40" i="24"/>
  <c r="K24" i="24"/>
  <c r="Z32" i="24"/>
  <c r="U24" i="24"/>
  <c r="P40" i="24"/>
  <c r="Z8" i="24"/>
  <c r="P16" i="24"/>
  <c r="R37" i="24"/>
  <c r="R13" i="24"/>
  <c r="AB13" i="24"/>
  <c r="AG45" i="24"/>
  <c r="M29" i="24"/>
  <c r="AG21" i="24"/>
  <c r="AB37" i="24"/>
  <c r="W29" i="24"/>
  <c r="R45" i="24"/>
  <c r="R21" i="24"/>
  <c r="M37" i="24"/>
  <c r="AG29" i="24"/>
  <c r="M13" i="24"/>
  <c r="AB45" i="24"/>
  <c r="AB21" i="24"/>
  <c r="W37" i="24"/>
  <c r="W13" i="24"/>
  <c r="R29" i="24"/>
  <c r="M45" i="24"/>
  <c r="AG37" i="24"/>
  <c r="M21" i="24"/>
  <c r="AG13" i="24"/>
  <c r="AB29" i="24"/>
  <c r="W45" i="24"/>
  <c r="W21" i="24"/>
  <c r="AC30" i="1"/>
  <c r="Z41" i="24"/>
  <c r="Z17" i="24"/>
  <c r="P25" i="24"/>
  <c r="U33" i="24"/>
  <c r="U9" i="24"/>
  <c r="K41" i="24"/>
  <c r="AE33" i="24"/>
  <c r="K17" i="24"/>
  <c r="Z25" i="24"/>
  <c r="Z9" i="24"/>
  <c r="U41" i="24"/>
  <c r="U17" i="24"/>
  <c r="P33" i="24"/>
  <c r="P9" i="24"/>
  <c r="AE41" i="24"/>
  <c r="K25" i="24"/>
  <c r="AE17" i="24"/>
  <c r="Z33" i="24"/>
  <c r="U25" i="24"/>
  <c r="P41" i="24"/>
  <c r="P17" i="24"/>
  <c r="K33" i="24"/>
  <c r="AE25" i="24"/>
  <c r="AE9" i="24"/>
  <c r="K9" i="24"/>
  <c r="AC48" i="1"/>
  <c r="AA28" i="24"/>
  <c r="Q12" i="24"/>
  <c r="V44" i="24"/>
  <c r="V20" i="24"/>
  <c r="Q36" i="24"/>
  <c r="AF44" i="24"/>
  <c r="L28" i="24"/>
  <c r="AF20" i="24"/>
  <c r="AA36" i="24"/>
  <c r="AA12" i="24"/>
  <c r="V28" i="24"/>
  <c r="Q44" i="24"/>
  <c r="Q20" i="24"/>
  <c r="L36" i="24"/>
  <c r="AF28" i="24"/>
  <c r="L12" i="24"/>
  <c r="AA20" i="24"/>
  <c r="AA44" i="24"/>
  <c r="V36" i="24"/>
  <c r="Q28" i="24"/>
  <c r="L44" i="24"/>
  <c r="V12" i="24"/>
  <c r="AF12" i="24"/>
  <c r="L20" i="24"/>
  <c r="AF36" i="24"/>
  <c r="AC26" i="1"/>
  <c r="J45" i="24"/>
  <c r="AD37" i="24"/>
  <c r="J21" i="24"/>
  <c r="AD13" i="24"/>
  <c r="Y29" i="24"/>
  <c r="T45" i="24"/>
  <c r="T21" i="24"/>
  <c r="O37" i="24"/>
  <c r="O13" i="24"/>
  <c r="AD45" i="24"/>
  <c r="J29" i="24"/>
  <c r="AD21" i="24"/>
  <c r="Y37" i="24"/>
  <c r="Y13" i="24"/>
  <c r="J13" i="24"/>
  <c r="T29" i="24"/>
  <c r="O45" i="24"/>
  <c r="O21" i="24"/>
  <c r="J37" i="24"/>
  <c r="AD29" i="24"/>
  <c r="Y45" i="24"/>
  <c r="Y21" i="24"/>
  <c r="T37" i="24"/>
  <c r="T13" i="24"/>
  <c r="O29" i="24"/>
  <c r="AC39" i="1"/>
  <c r="Q38" i="24"/>
  <c r="Q14" i="24"/>
  <c r="L30" i="24"/>
  <c r="AF22" i="24"/>
  <c r="L6" i="24"/>
  <c r="AA38" i="24"/>
  <c r="AA14" i="24"/>
  <c r="V30" i="24"/>
  <c r="Q22" i="24"/>
  <c r="L38" i="24"/>
  <c r="AF30" i="24"/>
  <c r="L14" i="24"/>
  <c r="AF6" i="24"/>
  <c r="AA22" i="24"/>
  <c r="V38" i="24"/>
  <c r="V14" i="24"/>
  <c r="Q30" i="24"/>
  <c r="Q6" i="24"/>
  <c r="AF38" i="24"/>
  <c r="L22" i="24"/>
  <c r="AF14" i="24"/>
  <c r="AA30" i="24"/>
  <c r="AA6" i="24"/>
  <c r="V6" i="24"/>
  <c r="V22" i="24"/>
  <c r="Y30" i="24"/>
  <c r="Y6" i="24"/>
  <c r="T22" i="24"/>
  <c r="O14" i="24"/>
  <c r="O38" i="24"/>
  <c r="J30" i="24"/>
  <c r="AD22" i="24"/>
  <c r="Y38" i="24"/>
  <c r="Y14" i="24"/>
  <c r="T30" i="24"/>
  <c r="T6" i="24"/>
  <c r="O22" i="24"/>
  <c r="J38" i="24"/>
  <c r="AD30" i="24"/>
  <c r="J14" i="24"/>
  <c r="AD6" i="24"/>
  <c r="Y22" i="24"/>
  <c r="T38" i="24"/>
  <c r="T14" i="24"/>
  <c r="O30" i="24"/>
  <c r="O6" i="24"/>
  <c r="AD14" i="24"/>
  <c r="AD38" i="24"/>
  <c r="J6" i="24"/>
  <c r="J22" i="24"/>
  <c r="AC37" i="1"/>
  <c r="Z29" i="24"/>
  <c r="U45" i="24"/>
  <c r="U21" i="24"/>
  <c r="P37" i="24"/>
  <c r="P13" i="24"/>
  <c r="AE45" i="24"/>
  <c r="K29" i="24"/>
  <c r="AE21" i="24"/>
  <c r="Z37" i="24"/>
  <c r="Z13" i="24"/>
  <c r="U29" i="24"/>
  <c r="P45" i="24"/>
  <c r="P21" i="24"/>
  <c r="K37" i="24"/>
  <c r="AE29" i="24"/>
  <c r="K13" i="24"/>
  <c r="Z45" i="24"/>
  <c r="Z21" i="24"/>
  <c r="U37" i="24"/>
  <c r="U13" i="24"/>
  <c r="P29" i="24"/>
  <c r="K45" i="24"/>
  <c r="AE13" i="24"/>
  <c r="AE37" i="24"/>
  <c r="K21" i="24"/>
  <c r="O40" i="24"/>
  <c r="O16" i="24"/>
  <c r="J32" i="24"/>
  <c r="AD24" i="24"/>
  <c r="J8" i="24"/>
  <c r="Y40" i="24"/>
  <c r="Y16" i="24"/>
  <c r="T32" i="24"/>
  <c r="O24" i="24"/>
  <c r="J40" i="24"/>
  <c r="AD32" i="24"/>
  <c r="J16" i="24"/>
  <c r="AD8" i="24"/>
  <c r="Y24" i="24"/>
  <c r="T40" i="24"/>
  <c r="T16" i="24"/>
  <c r="O32" i="24"/>
  <c r="O8" i="24"/>
  <c r="AD40" i="24"/>
  <c r="J24" i="24"/>
  <c r="AD16" i="24"/>
  <c r="Y32" i="24"/>
  <c r="Y8" i="24"/>
  <c r="T8" i="24"/>
  <c r="T24" i="24"/>
  <c r="AC32" i="1"/>
  <c r="U34" i="24"/>
  <c r="U10" i="24"/>
  <c r="K18" i="24"/>
  <c r="P26" i="24"/>
  <c r="K42" i="24"/>
  <c r="AE34" i="24"/>
  <c r="AE10" i="24"/>
  <c r="Z26" i="24"/>
  <c r="U42" i="24"/>
  <c r="U18" i="24"/>
  <c r="P34" i="24"/>
  <c r="P10" i="24"/>
  <c r="AE42" i="24"/>
  <c r="K26" i="24"/>
  <c r="AE18" i="24"/>
  <c r="Z34" i="24"/>
  <c r="Z10" i="24"/>
  <c r="U26" i="24"/>
  <c r="P42" i="24"/>
  <c r="P18" i="24"/>
  <c r="K34" i="24"/>
  <c r="AE26" i="24"/>
  <c r="K10" i="24"/>
  <c r="Z42" i="24"/>
  <c r="Z18" i="24"/>
  <c r="AC42" i="1"/>
  <c r="AA40" i="24"/>
  <c r="AA16" i="24"/>
  <c r="V32" i="24"/>
  <c r="V8" i="24"/>
  <c r="Q24" i="24"/>
  <c r="L40" i="24"/>
  <c r="AF32" i="24"/>
  <c r="L16" i="24"/>
  <c r="AA24" i="24"/>
  <c r="AA8" i="24"/>
  <c r="V40" i="24"/>
  <c r="V16" i="24"/>
  <c r="Q32" i="24"/>
  <c r="Q8" i="24"/>
  <c r="AF40" i="24"/>
  <c r="L24" i="24"/>
  <c r="AF16" i="24"/>
  <c r="AA32" i="24"/>
  <c r="V24" i="24"/>
  <c r="Q40" i="24"/>
  <c r="Q16" i="24"/>
  <c r="L32" i="24"/>
  <c r="L8" i="24"/>
  <c r="AF24" i="24"/>
  <c r="AF8" i="24"/>
  <c r="AC53" i="1"/>
  <c r="M30" i="24"/>
  <c r="AG22" i="24"/>
  <c r="M6" i="24"/>
  <c r="AB38" i="24"/>
  <c r="AB14" i="24"/>
  <c r="W6" i="24"/>
  <c r="W30" i="24"/>
  <c r="R22" i="24"/>
  <c r="M38" i="24"/>
  <c r="AG30" i="24"/>
  <c r="M14" i="24"/>
  <c r="AG6" i="24"/>
  <c r="AB22" i="24"/>
  <c r="W38" i="24"/>
  <c r="W14" i="24"/>
  <c r="AG14" i="24"/>
  <c r="R30" i="24"/>
  <c r="R6" i="24"/>
  <c r="AG38" i="24"/>
  <c r="M22" i="24"/>
  <c r="AB30" i="24"/>
  <c r="W22" i="24"/>
  <c r="AB6" i="24"/>
  <c r="R14" i="24"/>
  <c r="R38" i="24"/>
  <c r="AC72" i="1"/>
  <c r="N41" i="24"/>
  <c r="AH33" i="24"/>
  <c r="N17" i="24"/>
  <c r="AH9" i="24"/>
  <c r="AC25" i="24"/>
  <c r="X17" i="24"/>
  <c r="X41" i="24"/>
  <c r="S33" i="24"/>
  <c r="AH41" i="24"/>
  <c r="N25" i="24"/>
  <c r="AH17" i="24"/>
  <c r="AC33" i="24"/>
  <c r="AC9" i="24"/>
  <c r="X25" i="24"/>
  <c r="S41" i="24"/>
  <c r="S17" i="24"/>
  <c r="N9" i="24"/>
  <c r="N33" i="24"/>
  <c r="AH25" i="24"/>
  <c r="AC41" i="24"/>
  <c r="AC17" i="24"/>
  <c r="X33" i="24"/>
  <c r="X9" i="24"/>
  <c r="S25" i="24"/>
  <c r="S9" i="24"/>
  <c r="AD44" i="23"/>
  <c r="Y44" i="23"/>
  <c r="T44" i="23"/>
  <c r="O44" i="23"/>
  <c r="J44" i="23"/>
  <c r="AD36" i="23"/>
  <c r="T36" i="23"/>
  <c r="O36" i="23"/>
  <c r="Y36" i="23"/>
  <c r="J36" i="23"/>
  <c r="O28" i="23"/>
  <c r="Y28" i="23"/>
  <c r="J28" i="23"/>
  <c r="T28" i="23"/>
  <c r="AD28" i="23"/>
  <c r="Y12" i="23"/>
  <c r="Y20" i="23"/>
  <c r="AD20" i="23"/>
  <c r="O20" i="23"/>
  <c r="T20" i="23"/>
  <c r="J20" i="23"/>
  <c r="AD12" i="23"/>
  <c r="T12" i="23"/>
  <c r="O12" i="23"/>
  <c r="J12" i="23"/>
  <c r="M23" i="1"/>
  <c r="AB23" i="1" s="1"/>
  <c r="AA23" i="1" s="1"/>
  <c r="AC9" i="1"/>
  <c r="N23" i="1"/>
  <c r="AC15" i="1"/>
  <c r="AC17" i="1"/>
  <c r="AC23" i="1" l="1"/>
  <c r="O28" i="24"/>
  <c r="J44" i="24"/>
  <c r="AD36" i="24"/>
  <c r="J20" i="24"/>
  <c r="AD12" i="24"/>
  <c r="Y28" i="24"/>
  <c r="T44" i="24"/>
  <c r="T20" i="24"/>
  <c r="O36" i="24"/>
  <c r="O12" i="24"/>
  <c r="AD44" i="24"/>
  <c r="J28" i="24"/>
  <c r="AD20" i="24"/>
  <c r="Y36" i="24"/>
  <c r="Y12" i="24"/>
  <c r="T28" i="24"/>
  <c r="O44" i="24"/>
  <c r="O20" i="24"/>
  <c r="J36" i="24"/>
  <c r="AD28" i="24"/>
  <c r="Y44" i="24"/>
  <c r="Y20" i="24"/>
  <c r="T36" i="24"/>
  <c r="T12" i="24"/>
  <c r="J12" i="2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<sst xmlns="http://schemas.openxmlformats.org/spreadsheetml/2006/main" count="1042" uniqueCount="461">
  <si>
    <t>Matriz Mapa de Riesgos</t>
  </si>
  <si>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</si>
  <si>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</si>
  <si>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Columna</t>
  </si>
  <si>
    <t>Descripción - Lineamientos para el diligenciamiento</t>
  </si>
  <si>
    <t>Proceso</t>
  </si>
  <si>
    <t>Diligencie el nombre del proceso al cual se le identificarán y valorarán los riesgos.</t>
  </si>
  <si>
    <t>Alcance</t>
  </si>
  <si>
    <t>Diligencie el alcance del proceso.</t>
  </si>
  <si>
    <t>Diligencie el objetivo del proceso.</t>
  </si>
  <si>
    <t>Objetivo</t>
  </si>
  <si>
    <t>Referencia</t>
  </si>
  <si>
    <t>Impacto</t>
  </si>
  <si>
    <t>Analice las consecuencias que puede ocasionar a la organización la materialización del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</si>
  <si>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</si>
  <si>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</si>
  <si>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</si>
  <si>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</si>
  <si>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</si>
  <si>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</si>
  <si>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</si>
  <si>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</si>
  <si>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</si>
  <si>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</si>
  <si>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</si>
  <si>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</si>
  <si>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</si>
  <si>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</si>
  <si>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</si>
  <si>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</si>
  <si>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</si>
  <si>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</si>
  <si>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</si>
  <si>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</si>
  <si>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</si>
  <si>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</si>
  <si>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</si>
  <si>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</si>
  <si>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</si>
  <si>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</si>
  <si>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</si>
  <si>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</si>
  <si>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</si>
  <si>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</si>
  <si>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</si>
  <si>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</si>
  <si>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de inicio, fecha de terminación,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</si>
  <si>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</si>
  <si>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</si>
  <si>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</si>
  <si>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4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</si>
  <si>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</si>
  <si>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6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</si>
  <si>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</si>
  <si>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8 Tabla de Valoración de Controles: </t>
    </r>
    <r>
      <rPr>
        <sz val="11"/>
        <rFont val="Arial Narrow"/>
        <family val="2"/>
      </rPr>
      <t>Tabla referente para todos los cálculos (no se diligencia)</t>
    </r>
  </si>
  <si>
    <t>Identificación del riesgo</t>
  </si>
  <si>
    <t>Análisis del riesgo inherente</t>
  </si>
  <si>
    <t>Evaluación del riesgo - Valoración de los controles</t>
  </si>
  <si>
    <t>Evaluación del riesgo - Nivel del riesgo residual</t>
  </si>
  <si>
    <t>Plan de Acción</t>
  </si>
  <si>
    <t xml:space="preserve">Referencia </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</si>
  <si>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</si>
  <si>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</si>
  <si>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</si>
  <si>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</si>
  <si>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</si>
  <si>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</si>
  <si>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</si>
  <si>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</si>
  <si>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</si>
  <si>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</si>
  <si>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</si>
  <si>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</si>
  <si>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Tipo</t>
  </si>
  <si>
    <t>Implementación</t>
  </si>
  <si>
    <t>Calificación</t>
  </si>
  <si>
    <t>Documentación</t>
  </si>
  <si>
    <t>Frecuencia</t>
  </si>
  <si>
    <t>Evidencia</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</si>
  <si>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</si>
  <si>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</si>
  <si>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</si>
  <si>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</si>
  <si>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</si>
  <si>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</si>
  <si>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</si>
  <si>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</si>
  <si>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</si>
  <si>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</si>
  <si>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</si>
  <si>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</si>
  <si>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</si>
  <si>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</si>
  <si>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</si>
  <si>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</si>
  <si>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</si>
  <si>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</si>
  <si>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</si>
  <si>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</si>
  <si>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</si>
  <si>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</si>
  <si>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</si>
  <si>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</si>
  <si>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</si>
  <si>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</si>
  <si>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</si>
  <si>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</si>
  <si>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</si>
  <si>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</si>
  <si>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</si>
  <si>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</si>
  <si>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</si>
  <si>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</si>
  <si>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</si>
  <si>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</si>
  <si>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</si>
  <si>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</si>
  <si>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</si>
  <si>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</si>
  <si>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</si>
  <si>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</si>
  <si>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</si>
  <si>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</si>
  <si>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</si>
  <si>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</si>
  <si>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</si>
  <si>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</si>
  <si>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</si>
  <si>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</si>
  <si>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</si>
  <si>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</si>
  <si>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</si>
  <si>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</si>
  <si>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</si>
  <si>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junta dircetiva y accionistas y/o de provedores</t>
  </si>
  <si>
    <t xml:space="preserve">     Entre 50 y 100 SMLMV </t>
  </si>
  <si>
    <t xml:space="preserve">     El riesgo afecta la imagen de la entidad con algunos usuarios de relevancia frente al logro de los objetivos</t>
  </si>
  <si>
    <t xml:space="preserve">     Entre 100 y 500 SMLMV </t>
  </si>
  <si>
    <t xml:space="preserve">     El riesgo afecta la imagen de de la entidad con efecto publicitario sostenido a nivel de sector administrativo, nivel departamental o municipal</t>
  </si>
  <si>
    <t xml:space="preserve">     Mayor a 500 SMLMV </t>
  </si>
  <si>
    <t xml:space="preserve">     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</si>
  <si>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</si>
  <si>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</si>
  <si>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</si>
  <si>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</si>
  <si>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</si>
  <si>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</si>
  <si>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</si>
  <si>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</si>
  <si>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</si>
  <si>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</si>
  <si>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</si>
  <si>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</si>
  <si>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</si>
  <si>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</si>
  <si>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</si>
  <si>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</si>
  <si>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</si>
  <si>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</si>
  <si>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</si>
  <si>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</si>
  <si>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</si>
  <si>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</si>
  <si>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</si>
  <si>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</si>
  <si>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</si>
  <si>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</si>
  <si>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</si>
  <si>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</si>
  <si>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</si>
  <si>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</si>
  <si>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</si>
  <si>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</si>
  <si>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</si>
  <si>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</si>
  <si>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</si>
  <si>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</si>
  <si>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</si>
  <si>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</si>
  <si>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</si>
  <si>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</si>
  <si>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</si>
  <si>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</si>
  <si>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</si>
  <si>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</si>
  <si>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</si>
  <si>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</si>
  <si>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</si>
  <si>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</si>
  <si>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</si>
  <si>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</si>
  <si>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</si>
  <si>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</si>
  <si>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</si>
  <si>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Registro Sustancial</t>
  </si>
  <si>
    <t>Registro Material</t>
  </si>
  <si>
    <t>Sin registro</t>
  </si>
  <si>
    <t>Reducir</t>
  </si>
  <si>
    <t xml:space="preserve">Gestión Planeación Institucional </t>
  </si>
  <si>
    <t>Gestión de Producción</t>
  </si>
  <si>
    <t>Posible Fallas en la ejecución y seguimiento del plan de inversión y proyectos adicionales.</t>
  </si>
  <si>
    <t xml:space="preserve">Demora en la entrega de información por parte de los productores externos.
Falta de control de información por parte de los proveedores ajenos a la entidad
Rotación de personal en los puestos de control y seguimiento lo que genera retrasos en la entrega de información.
Falta de socialización en la entrega de información con los procesos internos.
</t>
  </si>
  <si>
    <t>La encargada de Proyectos realiza tres informes que se deben presentar al MINTIC denominados de la siguiente manera: Informes de actividades mensuales los primeros cinco días hábiles de cada mes, Informe de legalizaciones de manera trimestral, Informe de ejecución (trimestral). De igual forma se reciben Visitas de seguimiento a la ejecución (se atienden dos visitas al año) y Reuniones quincenales de seguimiento con la persona encargada del MINTIC, para conocer avances en la ejecución .</t>
  </si>
  <si>
    <t>Preparar y presentar informes detallados de actividades mensuales dentro de los primeros cinco días hábiles de cada mes.</t>
  </si>
  <si>
    <t>Generar informes de legalizaciones de manera trimestral para su presentación al MINTIC.</t>
  </si>
  <si>
    <t>Elaborar informes trimestrales de ejecución que reflejen el progreso y los resultados alcanzados en el proyecto.</t>
  </si>
  <si>
    <t>Coordinar y recibir dos visitas de seguimiento anuales para evaluar el avance y la efectividad de la ejecución del proyecto.</t>
  </si>
  <si>
    <t>Participar activamente en reuniones quincenales de seguimiento con el representante designado del MINTIC para informar sobre los avances y discutir posibles acciones correctivas o mejoras en el proceso de ejecución.</t>
  </si>
  <si>
    <t>Posible incumplimiento en el reporte de Ley de Transparencia</t>
  </si>
  <si>
    <t xml:space="preserve"> Debilidad en el cargue de información en la plataforma web de la página institucional. 
Incumplimiento de la matriz de ley de transparencia para el cargue de información por parte de los encargados de cada proceso 
No realizar seguimiento a los ítems establecidos dentro de la matriz ITA de la Procuraduría, una función que se debe realizar para validar que la información que se esta cargando en la página web sea la correcta.
</t>
  </si>
  <si>
    <t>La encargada de TRO Digital utiliza una matriz denominada "Ley de Transparencia por Departamentos", la cual relaciona los documentos o requerimientos originados en las diferentes áreas para ser cargados en el botón de transparencia. Esta matriz se envía por correo electrónico de manera trimestral. Este proceso cuenta con el apoyo del área de Planeación.</t>
  </si>
  <si>
    <t>La encargada de TRO Digital realiza una actualización diaria que se evidencia en el registro en la parte inferior de la página web. En caso de presentarse fallas se realiza un protocolo que inicia con el reporte al proveedor de la falla, siendo atendido el soporte en un plazo que va desde 1 a 24 horas, según la anomalía presentada</t>
  </si>
  <si>
    <t>Realizar una socialización de la matriz de Ley de Transparencia a los líderes de área para recordarles sus documentos y responsabilidades.</t>
  </si>
  <si>
    <t>Solicitar soporte al proveedor mediante correo electrónico o ticket de soporte.</t>
  </si>
  <si>
    <t xml:space="preserve">Gestión  Comunicaciones </t>
  </si>
  <si>
    <t>Posibilidad de responder extemporáneamente a las PQRSD (Peticiones, Quejas, Reclamos y Sugerencias) que ingresen al Canal TRO.</t>
  </si>
  <si>
    <t xml:space="preserve">Debilidad en el posicionamiento de imagen debido a la posible percepción desfavorable del público externo sobre las actividades y estrategias implementadas en el Canal TRO.
</t>
  </si>
  <si>
    <t>Desconocimiento de los tiempos de respuesta de Ley por parte de las áreas involucradas en el proceso PQRSD
Falta de un software para la asignación de las PQRSD con el fin de realizar trazabilidad.</t>
  </si>
  <si>
    <t>El encargado de Comunicaciones y su equipo actualizan y revisan la documentación de la Gestión de Comunicaciones, como los procedimientos y políticas, de manera anual o según sea necesario.</t>
  </si>
  <si>
    <t>Actualizar y revisar la documentación de la Gestión de Comunicaciones anualmente o según sea necesario, asegurando su pertinencia y eficacia.</t>
  </si>
  <si>
    <t>Posibilidad de  Incumplimiento de las metas comerciales  proyectadas para la vigencia</t>
  </si>
  <si>
    <t xml:space="preserve">Disminución de la pauta publicitaria por poca captación de clientes
No contar con estrategias de mercadeo que visibilice el Canal TRO
Debilidad en el servicio Post venta.
Debilidad en la fuerza de ventas por poco compromiso por parte de los asesores en la captación de clientes.
</t>
  </si>
  <si>
    <t>La encargada del área comercial junto con el equipo de contratistas del Portafolio de Servicios, realizan el seguimiento a los clientes en la base de datos establecida, dejando trazabilidad de las propuestas que se han presentado cada vez que se requiera.</t>
  </si>
  <si>
    <t>La encargada del área comercial realiza de manera mensual la generación de paquetes promocionales para la captación de clientes.</t>
  </si>
  <si>
    <t>La encargada del área comercial coordina la aplicación de encuestas para evaluar la satisfacción del servicio prestado cada vez que se completa una orden de publicidad.</t>
  </si>
  <si>
    <t>Mantener anualmente la base de datos actualizada mediante el seguimiento a los clientes, realizando una revisión para eliminar datos obsoletos, corregir errores y actualizar la información relevante, asegurando su precisión y utilidad en las operaciones comerciales.</t>
  </si>
  <si>
    <t>Realizar mensualmente estrategias comerciales con el fin de aumentar la captación de clientes, mejorar la fidelización y aumentar las ventas, asegurando un enfoque constante en el crecimiento y el éxito del negocio.</t>
  </si>
  <si>
    <t>Realizar semestralmente la aplicación de encuestas de satisfacción a clientes con el fin de evaluar la calidad del servicio. Posteriormente, llevar a cabo una retroalimentación interna y externa basada en los resultados de las encuestas para implementar mejoras continuas y garantizar la satisfacción del cliente.</t>
  </si>
  <si>
    <t xml:space="preserve">Probabilidad de Emitir productos de mala calidad. </t>
  </si>
  <si>
    <t>Falta de adherencia a los lineamientos del Manual de Estilo de la entidad en el desarrollo de los programas entregados para emisión.
Omisión en la creación de un Archivo Audiovisual para las producciones propias.
Ausencia de formulación de proyectos innovadores destinados a promover y difundir la cultura de la región de influencia del Canal.</t>
  </si>
  <si>
    <t xml:space="preserve">
Posibilidad de enfrentar dificultades para llevar a cabo la emisión del contenido del canal durante transmisiones en vivo desde el espacio exterior o el estudio.
</t>
  </si>
  <si>
    <t>Problemas con la corriente eléctrica
Desastres naturales
Fallas en la conectividad de la señal
 inestabilidad en la conectividad de la señal, la cual puede verse afectada por diversos factores como problemas técnicos, interferencias externas o saturación de la red.</t>
  </si>
  <si>
    <t>La encargada de  Producción realiza comités periódicos de control y de evaluación de la producción propia del Canal TRO y de terceros,  para esto se establece una fecha que se convoca a través de una circular informativa, para garantizar el cumplimiento de este lineamiento, quedando registro en el formato Acta de Comité los compromisos y mejoras del mismo.  Este comité se hace mínimo una vez al semestre.</t>
  </si>
  <si>
    <t>El productor general del canal debe hacer seguimiento al informes de general de preproducción que deben ser entregados por el productor encargado antes de cada producción, estos seguimientos se realizan como mínimo dos veces al mes siendo este el promedio de transmisiones mensuales. La evidencia que queda de este proceso es el formato Informe general de preproducción incluido en el Sistema Integrado de Gestión del canal con código: M-PP-P01-F03.</t>
  </si>
  <si>
    <t>Realizar semestralmente comités de control y evaluación de la producción propia del Canal TRO y de terceros, dejando evidencia en actas correspondientes.</t>
  </si>
  <si>
    <t>Realizar seguimientos a los informes generales de preproducción entregados por el productor encargado antes de cada producción, programados cada dos meses, coincidiendo con el promedio de transmisiones mensuales.</t>
  </si>
  <si>
    <t xml:space="preserve">Gestión de Programación </t>
  </si>
  <si>
    <t>Posibilidad de que la Parrilla de programación no sea dinámica y atractiva a los televidentes de la región</t>
  </si>
  <si>
    <t xml:space="preserve">No generar de manera oportuna la planificación de la parrilla de programación semanal.
Entrega de las piezas para realización de auto promocionales por fuera de las fechas de estreno y emisión de contenido.    
Falta de gestión por parte del área de comunicaciones y mercadeo y de la Dirección de Programación y Producción para la firma de alianzas con medios externos.
No generar la piezas de manera oportuna de los estrenos de programación antes de su emisión, conforme a la planificación semanal y de estrenos de las parrillas para su difusión en plataformas Digitales o Redes Sociales oficiales de la entidad.
Desconocimiento de aplicación de Resolución de Comité de Evaluación de Contenidos.
</t>
  </si>
  <si>
    <t>Falta de recursos financieros.
Información desactualizada e incoherente.
Desconocimiento de los cambios en las políticas nacionales.
Fallas en la coordinación y formulación de planes de compras, capacitación, PES, inversión y presupuesto.
Falta de compromiso del personal.</t>
  </si>
  <si>
    <t>Posibilidad de ocurrencia de fallas en la ejecución y seguimiento de planes y proyectos.</t>
  </si>
  <si>
    <t xml:space="preserve">Posibilidad de incumplimiento de los requisitos de la parrilla de programación establecidos por la normativa emitida por la CRC.
</t>
  </si>
  <si>
    <t>Desconocimiento del operador.
Inadecuado seguimiento al cumplimiento de la normativa en la emisión.
Perfil profesional inadecuado.</t>
  </si>
  <si>
    <t>El encargado de Programación realiza un seguimiento continuo a la formulación de los proyectos presentados al FUTIC y a la estrategia de programación mensual establecida por la dirección. Esto se puede evidenciar mediante la creación de un registro de seguimiento de proyectos y estrategias de programación, donde se documenten las fechas de presentación de proyectos, revisiones y aprobaciones de estrategias mensuales.</t>
  </si>
  <si>
    <t>La Dirección de Programación participa activamente en la formulación mensual, trimestral y anual del seguimiento a los informes requeridos por el MINTIC. La encargada de programación debe colaborar estrechamente con el área de proyectos, responsable de generar los informes, para asegurar que se cumplan los plazos establecidos y que la información proporcionada sea precisa y completa..</t>
  </si>
  <si>
    <t>Realizar, ya sea a través de correo electrónico o de manera física, el registro de informes de ejecución sobre inversión y presupuesto de programación propia, externa y otros planes, es una tarea a cargo del encargado de Programación.</t>
  </si>
  <si>
    <t>Posible interrupción de la emisiones del Canal TRO que supere los ANS (Acuerdos de Niveles de Servicio) establecidos por la normativa ( 8 horas semestrales)</t>
  </si>
  <si>
    <t>Posible incumplimiento en la logística por parte de terceros que afecte  la producción audiovisual</t>
  </si>
  <si>
    <t>Alteración en el flujo normal de la emisión
Falta de conocimiento en los procesos de emisión
Recursos técnicos limitados
Falla súbita de un equipo en la cadena de emisión
Falla de equipos</t>
  </si>
  <si>
    <t>Falla en la comunicación entre el centro de producción y la emisión del Canal TRO
Insuficientes recursos financieros
Pruebas insuficientes previas a la producción
Falla en los proveedores de servicios de internet o terceros involucrados en la producción
Falla de equipos</t>
  </si>
  <si>
    <t xml:space="preserve">Requerimientos no oportunos, incompletos y/o inadecuados
Incumplimiento de los compromisos de terceros
Modificaciones de último minuto por el cliente final.
</t>
  </si>
  <si>
    <t>Posible Pérdida o deterioro del material audiovisual.</t>
  </si>
  <si>
    <t xml:space="preserve">Manipulación inadecuada del material audiovisual.
Falta de control en la cadena de custodia de material audiovisual por parte de directores , productores , editores ( lo anterior teniendo en cuenta que en ocasiones se presenta pérdida de bloques al momento de cargar el material a VSN )
Inventario actualizado del material audiovisual
Inseguridad en los puntos de acceso a la red del archivo audiovisual.        </t>
  </si>
  <si>
    <t>Gestionar diariamente, junto con el área de emisión, la captura de los programas para que sean entregados al editor encargado de cada uno para su correcta recepción, carga y almacenamiento en el sistema VSN.</t>
  </si>
  <si>
    <t>Realizar anualmente la actualización del inventario del material audiovisual en el formato establecido en el SIG.</t>
  </si>
  <si>
    <t xml:space="preserve">Gestión Archivo Audiovisual </t>
  </si>
  <si>
    <t xml:space="preserve">Gestión Financiera y presupuestal </t>
  </si>
  <si>
    <t>Posibilidad de que la Información financiera no refleje la realidad del Canal o se presente de forma inoportuna y con errores.</t>
  </si>
  <si>
    <t>Probabilidad de incumplimiento de las obligaciones de tipo legal, fiscal, tributario por parte del Canal como Televisión Pública.</t>
  </si>
  <si>
    <t>Posibilidad de pagos por mayor valor, pagos dobles o pagos con importes diferentes a los causados en contabilidad.</t>
  </si>
  <si>
    <t xml:space="preserve"> Falencias en la parametrización del sistema de información ERP, SAFIX. Ausencias de inducción y reinducción a los contratistas  y funcionarios que intervienen en la generación de la información contable y financiera. Existencia de procesos manuales.
Entrega de información financiera inoportuna, incompleta y sin cumplimiento de requisitos por parte de los procesos</t>
  </si>
  <si>
    <t>Reprocesos en el registro y búsqueda de documentación, en SAFIX y Facturatech.
Desconocimiento de los informes y/o reportes a generar dentro de las fechas limites. Ausencia de un calendario para cumplimiento de obligaciones tributarias e informes a terceros. Falta de actualización y auditoria al cronograma de vencimientos de obligaciones tributarias y a terceros.</t>
  </si>
  <si>
    <t>La Contratación a través de prestación de servicios permite la brecha de ausencia de compromiso con el Canal y en consecuencia  abandono de los cargos sin previo aviso.</t>
  </si>
  <si>
    <t>Revisión de Información entregada por los procesos.
* Capacitación del personal, inducción y reinducción
* Socialización y evaluación de conocimiento de políticas y procedimientos
* Informes completos y frecuentes, sobre las actividades,  necesidades presupuestales de los proceso.
* Información continua y completa sobre la utilización de los recursos asignados a los procesos
* Revisión y seguimiento continuo
* Seguimiento y control al cumplimiento de políticas y procedimientos
* Socialización cronograma de entrega de informes a los procesos
* En caso de ser necesario aplicar procesos disciplinarios</t>
  </si>
  <si>
    <t>Gestión de Bienes y servicios</t>
  </si>
  <si>
    <t xml:space="preserve">Posible pérdida y deterioro de los bienes de la entidad </t>
  </si>
  <si>
    <t>No contar con la póliza multirriesgo para la cobertura de los bienes
Cambio de Tecnología en los equipos 
Falta de Control y Seguimiento al inventario de bienes del canal</t>
  </si>
  <si>
    <t xml:space="preserve">El encargado del proceso de bienes y servicios se encarga de contratar una empresa aseguradora que suministra las pólizas correspondientes para la cobertura de equipos durante un año
</t>
  </si>
  <si>
    <t>Realizar anualmente el inventario general de los bienes para mantener actualizado el registro de los activos y asegurar un control adecuado de los mismos</t>
  </si>
  <si>
    <t>Gestión Archivo  Documental</t>
  </si>
  <si>
    <t>Posibilidad de demoras en la respuesta a solicitudes de comunicaciones oficiales</t>
  </si>
  <si>
    <t>Posibilidad de deterioro o pérdida total de la documentación recibida o gestionada</t>
  </si>
  <si>
    <t>Posibilidad de desactualización de instrumentos archivísticos existentes en la entidad y falta de elaboración de nuevos</t>
  </si>
  <si>
    <t>Falta de un software que permita verificar la trazabilidad de la información
Falta de utilización correcta de los instrumentos de control de préstamos de documentos
Falta de capacitación a los colaboradores en temas de Gestión Documental
Uso indebido de la información</t>
  </si>
  <si>
    <t>Falta de infraestructura adecuada para el almacenamiento de documentación
Falta de un control de las condiciones ambientales
Falta de espacio adecuado para el almacenamiento</t>
  </si>
  <si>
    <t>Falta de cumplimiento al plan de transferencia documental, en cuanto a transferencias secundarias
Priorización de la planeación y ejecución del proceso de gestión documental
Establecimiento de metas a corto, mediano y largo plazo</t>
  </si>
  <si>
    <t>Falta de instrumentos para la elaboración del Plan de Gestión Documental (PGD)
Falta de actualización de los procedimientos y documentación de Gestión Documental</t>
  </si>
  <si>
    <t>El encargado de Ventanilla Única realiza diariamente el registro de las solicitudes que ingresan a la entidad en una planilla, asignando un número de radicado para dejar trazabilidad de la información recibida.</t>
  </si>
  <si>
    <t>La encargada del Archivo Documental realiza anualmente capacitaciones sobre el manejo adecuado de la información y las normas de gestión documental, proporcionando a los colaboradores los conocimientos necesarios para llevar a cabo sus tareas de manera efectiva y cumplir con los estándares establecidos.</t>
  </si>
  <si>
    <t>La encargada del Archivo Documental realizará la actualización de los procedimientos del Sistema Integrado de Gestión del proceso de Gestión Documental, según sea necesario para garantizar su eficacia y adecuación a las necesidades actuales. Además, actualizará los instrumentos archivísticos pertinentes para mantener un control efectivo sobre la gestión documental.</t>
  </si>
  <si>
    <t xml:space="preserve"> llevar a cabo el registro diario de todas las solicitudes que ingresan a la entidad, asignando un número de radicado a cada una para garantizar la trazabilidad de la información recibida.</t>
  </si>
  <si>
    <t>Realizar la verificación de los procedimientos del Proceso de Gestión Documental y respectiva actualización cuando se requiera</t>
  </si>
  <si>
    <t>Gestión Jurídica</t>
  </si>
  <si>
    <t>Posibilidad de afectación económica y reputacional por Inoportunidad de la actuación en las diferentes etapas del proceso de defensa judicial, debido a la falta de verificación de términos judiciales o seguimiento a las actuaciones procesales.</t>
  </si>
  <si>
    <t>Posible Ineficacia en las actuaciones de la representación judicial</t>
  </si>
  <si>
    <t>Posibilidad de incumplimiento de la normatividad de la contratación pública por baja autorregulación en las fases precontractractual, contractual y postcontractual debido a desconocimiento de los lineamientos del Manual de contratación y supervisión de la normatividad legal vigente</t>
  </si>
  <si>
    <t xml:space="preserve">Posibilidad del incumplimiento de la ejecución contractual y falta de verificación y seguimiento por parte del supervisor   </t>
  </si>
  <si>
    <t xml:space="preserve">Incumplimiento de marco regulatorio por parte de funcionarios. falta de verificación de términos judiciales o seguimiento a las actuaciones procesales.                        
Incumplimiento de soportes requeridos para sus actuaciones.                                     
Solicitud de Información por parte de los contratistas y funcionarios de asesoría de forma inoportuna.                                
Desconocimiento de los funcionarios de la naturaleza jurídica de la empresa y normas aplicables.                                     
Falta de seguimientos periódicos a los procesos     </t>
  </si>
  <si>
    <t xml:space="preserve"> Ineficacia en la revisión de los estados de los procesos
Falta de insumos e información legal a través de suscripciones.
</t>
  </si>
  <si>
    <t>falta de revisión de la documentación requerida para la contratación,  
desconocimiento de los lineamientos establecidos en el manual de contratación y supervisión
falta de personal idóneo para realizar el proceso de contratación</t>
  </si>
  <si>
    <t xml:space="preserve">Falta de revisión de los documentos requeridos para el pago y diligenciamiento del formato  (A-GJ-P03-F01) </t>
  </si>
  <si>
    <t>El equipo de jurídica cuenta con un abogado que realiza seguimiento a los procesos de manera semestral generando un informe que se entrega a Gerencia con el fin de consolidar el seguimiento de todos los procesos</t>
  </si>
  <si>
    <t>El encargado del área jurídica presenta ante el comité de cartera y de conciliación el estado de las actuaciones en los procesos que adelanta ya sean de cobro de cartera o en los procesos que se actué como demandado</t>
  </si>
  <si>
    <t>El abogado designado para cada proceso de contratación debe firmar el "proyectó" de los documentos  cada vez que se genere un nuevo documento dentro del mismo.</t>
  </si>
  <si>
    <t>Los abogados que forman parte del equipo reciben la documentación necesaria para iniciar el proceso de contratación. Para garantizar la conformidad con los lineamientos establecidos en el manual de contratación, utilizan la lista de chequeo (A-GJ-P03-F03). Una vez recibida la documentación, los abogados organizan cada uno de los documentos en el expediente correspondiente, asegurándose de su completa y correcta disposición. Posteriormente, el expediente se entrega a gestión documental para su archivo y seguimiento adecuado.</t>
  </si>
  <si>
    <t xml:space="preserve">Presentar semestralmente un informe a la Gerencia sobre el estado de los procesos </t>
  </si>
  <si>
    <t xml:space="preserve">Firmar el "proyecto" de los documentos inmediatamente después de su generación para corroborar su integridad y vigencia </t>
  </si>
  <si>
    <t xml:space="preserve">Organizar los expedientes de acuerdo a la lista de chequeo (A-GJ-P03-F03) para mantener la integridad y precisión de la documentación para luego enviar al archivo central </t>
  </si>
  <si>
    <t xml:space="preserve">Gestión de Talento Humano </t>
  </si>
  <si>
    <t>Posibilidad en el incumplimiento de la normatividad asociada a la seguridad y salud en el trabajo.</t>
  </si>
  <si>
    <t xml:space="preserve">Falta de contactos para la búsqueda de entidades y/o profesionales, para el desarrollo de las actividades de los diversos planes.
Las entidades a vincular en alguna actividad, no presentan los documentos necesarios para establecer convenios y/o pagos por sus servicios. 
</t>
  </si>
  <si>
    <t xml:space="preserve">Falta en la ejecución de actividades establecidas en el Plan Anual de SST
Falta de capacitación del personal sobre SST
Falta de evidencias suficientes frente al cumplimiento de los requisitos mínimos del SST.
</t>
  </si>
  <si>
    <t>El encargado de talento humano realiza un seguimiento trimestral de las actividades generadas en cada plan, con el propósito de presentar los resultados ante el Comité de MIPG. Este seguimiento permite una evaluación periódica del progreso hacia los objetivos establecidos en los planes del decreto 612, lo que facilita la identificación de áreas de mejora y la implementación de acciones correctivas según sea necesario.</t>
  </si>
  <si>
    <t xml:space="preserve">Realizar trimestralmente el seguimiento de las actividades generadas en cada plan, con el propósito de presentar los resultados ante el Comité de MIPG. </t>
  </si>
  <si>
    <t>Gestión  de Evaluación y Control</t>
  </si>
  <si>
    <t>Posibilidad de presentación extemporánea de los informes de control interno a entes de control y partes interesadas</t>
  </si>
  <si>
    <t xml:space="preserve">
Posibilidad de incumplimiento del programa anual de auditorías</t>
  </si>
  <si>
    <t xml:space="preserve">Inexistencia de un cronograma que establezca los informes que deben presentarse con los términos respectivos.
Falta de seguimiento por parte del área de control interno al cronograma de presentación de informes.
</t>
  </si>
  <si>
    <t xml:space="preserve">Personal insuficiente para realizar auditorías.
Situaciones imprevistas en los procesos de la entidad que no permitan atender las auditorías.
Falta de seguimiento al programa anual de auditorías de la entidad
</t>
  </si>
  <si>
    <t>El Jefe de la Oficina de Control Interno elabora el Plan Anual de Auditorias y seguimientos en el cual se incluye el cronograma de presentación de informes</t>
  </si>
  <si>
    <t xml:space="preserve">El Jefe de Control Interno presentara un avance del cumplimiento al cronograma ante el comité de Coordinación de Control Interno </t>
  </si>
  <si>
    <t>Presentar cuando se requiera un avance del cumplimiento al cronograma ante el comité de Coordinación de Control Interno</t>
  </si>
  <si>
    <t>Elaborar anualmente el plan de auditorías y seguimiento, y presentarlo en el primer Comité de Coordinación de Control Interno</t>
  </si>
  <si>
    <t>El Jefe de Control Interno firmara  de manera periódica un Compromiso de Ética el cual se garantiza la transparencia, el prestigio y  credibilidad de la labor.</t>
  </si>
  <si>
    <t>El Jefe de Control Interno realizara de manera semestral la socialización del Código de Ética del Auditor.</t>
  </si>
  <si>
    <t xml:space="preserve">Realizar la socialización del Código de Ética del Auditor y el Compromiso a través del correo electrónico. </t>
  </si>
  <si>
    <t>Renovar anualmente el Compromiso de Ético del Auditor Interno</t>
  </si>
  <si>
    <t>Gestión de mejoramiento Continuo</t>
  </si>
  <si>
    <t xml:space="preserve">Probabilidad en el incumplimiento de la presentación de información a entes externos e internos. </t>
  </si>
  <si>
    <t xml:space="preserve">Probabilidad de incumplimiento en la presentación de los planes de mejoramiento de auditorias internas y externas 
</t>
  </si>
  <si>
    <t>Probabilidad de suspensión de la certificación ISO 9001:2015 debido a incumplimientos o deficiencias en los procesos de calidad</t>
  </si>
  <si>
    <t xml:space="preserve">
Falta de un cronograma de seguimiento en la presentación de informes 
Falta de responsabilidad y rendición de cuentas por parte de los colaboradores 
</t>
  </si>
  <si>
    <t>Falta de un cronograma de seguimiento en la presentación de informes 
Falta de responsabilidad y rendición de cuentas por parte de los colaboradores</t>
  </si>
  <si>
    <t xml:space="preserve">
Incumplimiento en la realización de auditorías internas de calidad
Falta de seguimiento a la actualización de los procedimientos del SIG
Falta de gestión para las auditorias de seguimiento por parte del ente externo 
Falta de seguimiento y monitoreo a las acciones correctivas del SIG
 </t>
  </si>
  <si>
    <t>El encargado de Mejoramiento Continuo realiza un plan de seguimiento y monitoreo en un cronograma interno de trabajo para asegurar que se cumplan los plazos establecidos para la presentación de los informes. Este se realiza de manera trimestral</t>
  </si>
  <si>
    <t>El encargado de mejoramiento continuo envía por medio de correo electrónico a los colaboradores y con copia a la jefe de Control interno el cumplimiento del plan de mejoramiento solicitando las respectivas evidencias cada vez que se requería entregar avances.</t>
  </si>
  <si>
    <t>El encargado de mejoramiento continuo realiza acompañamiento a los lideres de áreas en el levantamiento de la información sobre las acciones de mejora dejando trazabilidad en el FORMATO DE ACCIONES CORRECTIVAS, PREVENTIVAS Y DE MEJORA V-GM-P05-F01 acción realizada cada vez que se requiera</t>
  </si>
  <si>
    <t xml:space="preserve">El encargado de mejoramiento continuo elabora y socializa el plan anual de auditorías (V-GE-P01-F10 PLAN ANUAL AUDITORIAS INFORMES DE GESTION ) y se presenta ante el comité institucional de gestión y desempeño de manera anual, con base en el procedimiento documentado (V-GE-P01 PROCEDIMIENTO DE AUDITORIAS INTERNAS), los principios de auditoría y para verificación de su cumplimiento. </t>
  </si>
  <si>
    <t>El encargado de mejoramiento continuo realiza la gestión con el área de financiera para incluir dentro del presupuesto el mantenimiento del SIG teniendo en cuenta que se incluya en el plan de compras anual.</t>
  </si>
  <si>
    <t>El encargado de mejoramiento continuo realiza seguimiento trimestral a las acciones propuestas en el plan de acción informando vía correo electrónica de la visita para recolección de evidencias.</t>
  </si>
  <si>
    <t xml:space="preserve">Enviar cuando se requiera el plan de mejoramiento, junto con las evidencias, a la jefe de control interno y a ,os entes de control </t>
  </si>
  <si>
    <t xml:space="preserve">Apoyar cuando se requiera en el levantamiento de acciones de mejora a los lideres de procesos </t>
  </si>
  <si>
    <t>Presentar ante el primer comité de coordinación de Control Interno el plan de auditorías de la vigencia.</t>
  </si>
  <si>
    <t>Gestionar dentro del plan de compras el presupuesto para el mantenimiento del SIG en coordinación con el área financiera, asegurando su inclusión en el presupuesto anual</t>
  </si>
  <si>
    <t>Realizar anualmente el cronograma de actividades del área para asegurar que se cumpla con la presentación de la información a los entes de control</t>
  </si>
  <si>
    <t>Solicitar, según sea necesario, la presentación de información mediante una circular interna a los colaboradores, utilizando correos institucionales, con el fin de garantizar la eficacia del reporte y evitar posibles sanciones económicas.</t>
  </si>
  <si>
    <t>Realizar seguimiento trimestral a los planes de mejoramiento formulados de acuerdo con los seguimientos y/o auditorías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</si>
  <si>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6" tint="-0.249977111117893"/>
        <rFont val="Arial Narrow"/>
        <family val="2"/>
      </rPr>
      <t>Guía para la Administración del Riesgo y el diseño de controles V6</t>
    </r>
    <r>
      <rPr>
        <sz val="10"/>
        <rFont val="Arial Narrow"/>
        <family val="2"/>
      </rPr>
      <t>. El formato cuenta con celdas parametrizadas y permite contar con los respectivos mapas de calor para riesgo inherente y riesgo residual.</t>
    </r>
  </si>
  <si>
    <t>Realizar tres rutinas de mantenimiento preventivo según el procedimiento establecido. Además, se encargará de realizar los correctivos necesarios.</t>
  </si>
  <si>
    <t>Posible desviaciones de la señal de una producción en VIVO en exteriores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</si>
  <si>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Contexto: </t>
    </r>
    <r>
      <rPr>
        <sz val="11"/>
        <rFont val="Arial Narrow"/>
        <family val="2"/>
      </rPr>
      <t>Diligenciar formato Contexto Extratégico -E-PI-MT01-F03 FORMATO MATRIZ DOFA</t>
    </r>
    <r>
      <rPr>
        <sz val="10"/>
        <rFont val="Arial Narrow"/>
        <family val="2"/>
      </rPr>
      <t xml:space="preserve">
</t>
    </r>
  </si>
  <si>
    <t>Fecha de elaboración</t>
  </si>
  <si>
    <t>Diligencie la fecha de elaboración de la matriz DOFA</t>
  </si>
  <si>
    <t>Lider de Proceso</t>
  </si>
  <si>
    <t xml:space="preserve">Diligencia el nombre del lider o encargado del proceso </t>
  </si>
  <si>
    <t xml:space="preserve"> -  Hoja 3 Mapa de Riesgos Final: Encontrará la totalidad de la estructura para la identificación y valoración de los riesgos por proceso, acorde con el nivel de desagregación que la entidad considere necesaria.</t>
  </si>
  <si>
    <t xml:space="preserve">Permite definir unl consecutivo de riesgos.
Una entidad puede ir en el riesgo 150, pero tener 70 riesgos, lo que permite llevar una trazabilidad  de los riesgos. Esta información la debe administrar la oficina asesora de planeación o gerencia de riesgos.  Cuando un el riesgo salga del mapa no existirá otro riesgo con el mismo número. </t>
  </si>
  <si>
    <t xml:space="preserve">Clase de Riesgo </t>
  </si>
  <si>
    <t xml:space="preserve">Utilice la lista de despligue que se encuentra parametrizada, le aparecerán las opciones:Riesgos de Gestión; Riesgos de Corrupción; Riesgos de Seguridad de la Información 
 </t>
  </si>
  <si>
    <t>Código: E-PI-MT-04</t>
  </si>
  <si>
    <t>Versión: 04</t>
  </si>
  <si>
    <t>Fecha : 15-04-2024</t>
  </si>
  <si>
    <t>El encargado de bienes y servicios, junto con su equipo de trabajo, lleva a cabo el inventario general, el cual queda registrado en el software softlan del Canal. Esta actividad se realiza de manera anual</t>
  </si>
  <si>
    <t>Asegurarse de que las pólizas estén actualizadas y renovadas Anualmente según corresponda para garantizar una cobertura continua y adecuada de los equipos del Canal.</t>
  </si>
  <si>
    <t>Gestionar adecuaciones semestralmente a la infraestructura del deposito de almacenamiento de Archivo</t>
  </si>
  <si>
    <t>Realizar anualmente la eliminación de los documentos que ya cumplieron su tiempo de retención, verificación y conservación y realizar el cronograma de las transferencias secundarias para su ejecución</t>
  </si>
  <si>
    <t>Realizar cuando se requiera la actualización de las Tablas de Retención Documental y Programa de Gestión Documental</t>
  </si>
  <si>
    <t>Posibilidad de Incumplimiento en la ejecución de los planes definidos en el Decreto 612 de 2018.</t>
  </si>
  <si>
    <t>El líder de seguridad y salud en el trabajo debe velar por el cumplimiento de la normatividad, evitando enfrentar sanciones legales y multas.</t>
  </si>
  <si>
    <t>Efectuar los pagos con la autorización de rúbrica en el informe formato verificación de cumplimiento de requisitos para pagos beneficiarios A-GJ-P03-F02, Informe supervisión- acta de recibo y certificación de cumplimiento A-GJ.P03-F01 del funcionario designado por la gerencia del CANAL TRO LTDA</t>
  </si>
  <si>
    <t xml:space="preserve">Probabilidad de designación de personal con perfil no idóneo para la ejecución de actividades y desarrollo de funciones específicas del cargo. </t>
  </si>
  <si>
    <t xml:space="preserve"> Trabajo bajo presión, acumulación de pagos por falta de disponibilidad de recursos, falta de programación en los pagos, atención al detalle.</t>
  </si>
  <si>
    <t xml:space="preserve">El contador revisa el cronograma de vencimientos tributarios, informes a terceros para identificar las fechas de vencimientos </t>
  </si>
  <si>
    <t>Capturar cada vez que se registre el numero del documento que registra el reconocimiento contable.</t>
  </si>
  <si>
    <t xml:space="preserve">No realizar seguimiento o monitoreo al desempeño de las plataformas donde se encuentran las cuentas oficiales de Canal TRO            
Cambio de políticas de seguridad o caída de plataformas que impiden su desarrollo.
</t>
  </si>
  <si>
    <t xml:space="preserve">Posible falla o intermitencia en las plataformas que se implementan para la generación de contenidos 
</t>
  </si>
  <si>
    <t xml:space="preserve">El ingeniero designado debe realizar pruebas de audio y video y de conectividad. Las pruebas en estudios se deben realizar por lo menos 30 minutos antes del inicio de programa. El llamado para las producciones debe realizarse 4 horas antes de comenzar la transmisión y las pruebas de audio y video y conectividad se deben realizar por lo menos 60 minutos antes del inicio del programa; en ambos casos las pruebas deben ser coordinadas por el productor con apoyo del técnico de broadcast. Dicho control se debe realizar cada vez que se requiera.
</t>
  </si>
  <si>
    <t>El productor encargado debe realizar el scouting de la producción y solicitar el acompañamiento del grupo de Broadcast con el fin de definir los recursos de la producción, esto se debe realizar cada vez que se requiera.</t>
  </si>
  <si>
    <t>El productor encargado debe realizar el scouting de la producción y solicitar el acompañamiento del grupo de Broadcast y los terceros involucrados con el fin de definir los recursos de la producción, esto se debe realizar cada vez que se requiera.</t>
  </si>
  <si>
    <t>Informar por correo electrónico a la Jefe de Control Interno y al Comité Institucional de Gestión y Desempeño sobre cualquier incumplimiento en la entrega de información</t>
  </si>
  <si>
    <t>Ejecución y Administración de procesos</t>
  </si>
  <si>
    <t xml:space="preserve">Gestión de TRO Digital </t>
  </si>
  <si>
    <t>Realizar trimestralmente un seguimiento al cargue de la información en el botón de transparencia de la página web.</t>
  </si>
  <si>
    <t>Fallas Tecnológicas</t>
  </si>
  <si>
    <t>Realizar el reporte de la falla al área competente y dar seguimiento hasta su tratamiento y resolución</t>
  </si>
  <si>
    <t xml:space="preserve">Gestión Comercialización y Ventas </t>
  </si>
  <si>
    <t>Enviar Trimestralmente a la CRC los reportes a la CRC del cumplimiento de cuota de pantalla, mensajes institucionales, closed captión y lenguaje de señas y PQRSD como lo establece la resolución vigente</t>
  </si>
  <si>
    <t>Gestión Técnica y Emisión</t>
  </si>
  <si>
    <t>El personal técnico designado por el Director del área realiza los mantenimientos preventivos de los equipos  broadcast y TI quienes serán los encargados de ejecutar las rutinas de mantenimiento.</t>
  </si>
  <si>
    <t xml:space="preserve">El personal técnico designado por el Director del área realizará el apoyo a la producción con las visitas técnicas a los lugares de producción con el fin de mitigar las posibles desviaciones de las producciones en vivo desde exteriores </t>
  </si>
  <si>
    <t xml:space="preserve">Apoyar la elaboración del informe de pre producción cada vez que se requiera una transmisión en vivo de exteriores, en la viabilidad técnica de producción </t>
  </si>
  <si>
    <t>Daños Activos Físicos</t>
  </si>
  <si>
    <t xml:space="preserve">Revisión y actualización del calendario de vencimientos </t>
  </si>
  <si>
    <t xml:space="preserve">El contador establece periodos de cierre contable para la depuración y análisis de la información registrada en los libros contables de la entidad </t>
  </si>
  <si>
    <t>Enviar correos electrónicos al contratista encargado de apoyo de contabilidad y los lideres de áreas encargados de compras informando sobre la fecha limite para radicación de facturas, cuentas de cobro que afectan la elaboración de impuestos</t>
  </si>
  <si>
    <t xml:space="preserve">El tesorero realiza informes periódicos de las cuentas por pagar para determinar las obligaciones que tiene el canal TRO con acreedores y proveedores y la programación de pagos que son autorizados por la Gerencia 
</t>
  </si>
  <si>
    <t xml:space="preserve">El Contratista encargado del apoyo contable debe capturar en la causación contable el número de la factura de venta, documento electrónico o soporte con el cual realiza la causación para evitar que un mismo documento que pertenezca a un tercero determinado quede registrado doble vez </t>
  </si>
  <si>
    <t xml:space="preserve">El encargado del área Financiera y presupuestal realizara una solicitud al área de Secretaria General sobre el perfil que se requiera contratar donde se especifique las características como perfil profesional y experiencia el cual permita contratar el personal idóneo para el área </t>
  </si>
  <si>
    <t xml:space="preserve">Solicitar correo electrónico cada vez que se requiera contratar a una persona para el área financiera y presupuestal. </t>
  </si>
  <si>
    <t xml:space="preserve">Posibilidad de deterioro del archivo central debido a factores como condiciones climáticas o ambientales </t>
  </si>
  <si>
    <t>La encargada del Archivo Documental registrará las mediciones del termohigrómetro, des humificadores y aires acondicionados con la finalidad de tener un control de las condiciones ambientales del archivo central</t>
  </si>
  <si>
    <t xml:space="preserve">Realizar diariamente el registro de las mediciones de temperatura y humedad en los formatos establecidos </t>
  </si>
  <si>
    <t>Actualizar y realizar seguimiento anualmente al Plan Institucional de Archivos PINAR</t>
  </si>
  <si>
    <t xml:space="preserve">Presentar ante el comité de cartera el estado de los procesos ya sean por cobro de cartera o procesos que actúe como demandado </t>
  </si>
  <si>
    <t xml:space="preserve">El Abogado encargado de los procesos  de manera semestral envía informe a la Gerencia a través de correo electrónico  </t>
  </si>
  <si>
    <t xml:space="preserve">El encargado del proceso de talento humano realiza la actualización de los planes del decreto 612 cuando se requieran y se presentan ante comité institucional de gestión y desempeño para su aprobación y seguidamente al cargue en la pagina web de la entidad en el botón de ley de transparencia y acceso  a la información pública </t>
  </si>
  <si>
    <t>Revisar y actualizar  anualmente los planes del decreto 612 y llevarlos al comité de gestión y desempeño para su aprobación.</t>
  </si>
  <si>
    <t>Garantizar trimestralmente el cumplimiento de la normativa para evitar sanciones legales y multas a través de la actualización de la matriz legal de SST</t>
  </si>
  <si>
    <t xml:space="preserve">
El encargado de mejoramiento envía solicitud a través de correos institucionales según necesidad informando sobre la entrega de información  teniendo en cuenta las sanciones económicas esto con el fin de que el reporte sea eficaz </t>
  </si>
  <si>
    <t xml:space="preserve">Supervisión de las acciones </t>
  </si>
  <si>
    <t>Realizado</t>
  </si>
  <si>
    <t>No realizado</t>
  </si>
  <si>
    <t>Implementado</t>
  </si>
  <si>
    <t>En Proceso</t>
  </si>
  <si>
    <t>Pendiente</t>
  </si>
  <si>
    <t>Realizar  cada vez que se requiere un comité de producción y programación con su respectiva acta , donde se registrarán los detalles y conclusiones discutidos durante la reunión.</t>
  </si>
  <si>
    <t>Demora en la entrega de información por parte de los procesos.
Falta de socialización de los tiempos de entrega de información.
Falta de seguimiento a las metas establecidas en el PEI
Falta de controles para el seguimiento al cumplimiento de las metas del PEI</t>
  </si>
  <si>
    <t>El encargado del proceso realiza trimestralmente el envío de un correo a todos los líderes solicitando el seguimiento de los objetivos estratégicos del PEI (Plan Estratégico Institucional). Además, presenta el porcentaje de ejecución ante el Comité Institucional de Gestión y Desempeño, el cual queda registrado en las actas institucionales. Trimestralmente, se entrega un informe de seguimiento (E-PI-P03-FO1 Formato Seguimiento PEI - PAI) a Control Interno, detallando el porcentaje de cumplimiento.</t>
  </si>
  <si>
    <t>Enviar trimestralmente un correo institucional a los líderes de procesos solicitando el seguimiento del Plan Estratégico Institucional (PEI).</t>
  </si>
  <si>
    <t>Realizar trimestralmente un informe de seguimiento del PEI  para monitorear y evaluar el avance de las estrategias de comunicaciones implementadas.</t>
  </si>
  <si>
    <t xml:space="preserve">Realizar anualmente visitas a los procesos para el seguimiento del SIG, según un cronograma interno de trabajo. </t>
  </si>
  <si>
    <t>El encargado de Mejoramiento Continuo realiza visita a los procesos para el seguimiento del SIG revisión realizada de manera anual</t>
  </si>
  <si>
    <t>El  encargado del proceso de Archivo audiovisual maneja un procedimiento donde se menciona quiénes son las personas encargadas de la manipulación del material audiovisual. Cuando otros procesos solicitan el material, se deja registro en una planilla cada vez que sea necesario.</t>
  </si>
  <si>
    <t>El  encargado del proceso de Archivo audiovisual y su equipo de trabajo realizan el registro del material audiovisual en el formato de inventario (M-GA-P01-F10), proceso que están llevando a cabo.</t>
  </si>
  <si>
    <t xml:space="preserve">Socializar anualmente a través de los correos institucionales el manejo adecuado de la información </t>
  </si>
  <si>
    <t>Para evitar la pérdida y deterioro de los expedientes en el archivo central, cada vez que se realice una solicitud de préstamo de documentos , se enviará a través de correo electrónico o WhatsApp.</t>
  </si>
  <si>
    <t xml:space="preserve">Supervisión : Primer Cuatrimestre- 3a Línea de defensa (Jefe de Control Interno ) </t>
  </si>
  <si>
    <t>Posible Incumplimiento en el reporte de avance del Plan Estratégico Institucional del Canal TRO</t>
  </si>
  <si>
    <t>El encargado de Comunicaciones y su equipo ejecutan las estrategias establecidas en el Plan Estratégico Institucional (PEI), elaborando informes trimestrales sobre el avance obtenido en cada una de las actividades ejecutadas.</t>
  </si>
  <si>
    <t xml:space="preserve">
La Encargada de Programación de manera trimestral envía reportes ante la CRC en el marco de la normativa del cumplimiento de cuota de pantalla, mensajes institucionales, closed capitón y lenguaje de señas y PQRSD como lo establece la resolución 6383 del año 2021 y la resolución 6607 del año 2022 de entrega de informes.
</t>
  </si>
  <si>
    <t xml:space="preserve">Realizar a través del informe de preproducción los lineamientos de la parte técnica indicando la cotización de los servicios prestados por terceros </t>
  </si>
  <si>
    <t xml:space="preserve">Incumplimiento de las estrategias pactadas en el PEI 
Desconocimientos de los procedimientos realizados dentro del área de Comunicaciones y Mercadeo por parte de los colaboradores que la integran.
Desconocer la percepción de la imagen de la Televisión Regional del Oriente por las partes interesadas </t>
  </si>
  <si>
    <t xml:space="preserve">Monitoreo: Primer Cuatrimestre- 2a Línea de defensa (Planeación) </t>
  </si>
  <si>
    <t xml:space="preserve">Monitoreo: Segundo Cuatrimestre- 2a Línea de defensa (Planeación) </t>
  </si>
  <si>
    <t xml:space="preserve">Monitoreo: Tercer  Cuatrimestre- 2a Línea de defensa (Planeación) </t>
  </si>
  <si>
    <t>Responsable</t>
  </si>
  <si>
    <t>Fecha de inicio</t>
  </si>
  <si>
    <t>Fecha de terminación</t>
  </si>
  <si>
    <t>Fecha Seguimiento</t>
  </si>
  <si>
    <t>Acciones que se realizaron</t>
  </si>
  <si>
    <t xml:space="preserve">Evidencia </t>
  </si>
  <si>
    <t xml:space="preserve">Porcentaje de cumplimiento </t>
  </si>
  <si>
    <t xml:space="preserve">Encargada del área de Planeación </t>
  </si>
  <si>
    <t>En proceso</t>
  </si>
  <si>
    <t xml:space="preserve">Jefe de Comunicaciones </t>
  </si>
  <si>
    <t xml:space="preserve">Encargada de Comercialización y ventas </t>
  </si>
  <si>
    <t>5/05/2024
5/09/2024</t>
  </si>
  <si>
    <t xml:space="preserve">Director Técnico y de emisión </t>
  </si>
  <si>
    <t xml:space="preserve">Encargada de Tesorería </t>
  </si>
  <si>
    <t xml:space="preserve">Auxiliar contable </t>
  </si>
  <si>
    <t xml:space="preserve">Encargado de Almacén </t>
  </si>
  <si>
    <t xml:space="preserve">Encargada de Archivo Documental </t>
  </si>
  <si>
    <t>Jurídico designado</t>
  </si>
  <si>
    <t>5/05/2024
5/09/2024
20/12/2024</t>
  </si>
  <si>
    <t xml:space="preserve">Encargado del área de Planeación </t>
  </si>
  <si>
    <t xml:space="preserve">Encagada de proyectos </t>
  </si>
  <si>
    <t>Realizar capacitación continua en el sistema 
Documentación del proceso
Conciliación periódica entre módulos</t>
  </si>
  <si>
    <t>Jefe de Talento Humano</t>
  </si>
  <si>
    <t xml:space="preserve">Jefe de Control Interno </t>
  </si>
  <si>
    <t xml:space="preserve">Encargada de Mejoramiento Continuo </t>
  </si>
  <si>
    <t>La Alta Gerencia realiza la asignación de las PQRSD a las áreas responsables a través del software institucional, el cual genera notificaciones automáticas a los colaboradores designados. El encargado de PQRSD realiza seguimiento al cumplimiento de los términos de respuesta mediante el monitoreo mensual del formato E-GC-P02-F03 y la verificación de la trazabilidad en el sistema. En caso de detectar inconsistencias o incumplimientos en la gestión de las solicitudes, debe informar inmediatamente al Secretario General para tomar las medidas correctivas pertinentes.</t>
  </si>
  <si>
    <t>Realizar seguimiento semanal a la gestión de las PQRSD en el software institucional, verificando el estado de cada solicitud asignada y registrando observaciones en el formato E-GC-P02-F03. Ante cualquier inconsistencia o incumplimiento detectado, la encargada de PQRSD deberá informar de inmediato al Secretario General para garantizar la trazabilidad y oportunidad en las respuestas</t>
  </si>
  <si>
    <t xml:space="preserve">Directora de Programación y producción </t>
  </si>
  <si>
    <t xml:space="preserve">Jefe de TRO Digital </t>
  </si>
  <si>
    <t xml:space="preserve">Encargado Archivo Audiovisual </t>
  </si>
  <si>
    <t xml:space="preserve">Director Técnico y de Emisión </t>
  </si>
  <si>
    <t>Contador
Tesorera
Cartera</t>
  </si>
  <si>
    <t>MAPA DE RIESGOS DE GESTIÓN 2026</t>
  </si>
  <si>
    <t xml:space="preserve">Jefe de almacen </t>
  </si>
  <si>
    <t>Encaergada de Archivo Documental</t>
  </si>
  <si>
    <t>Encargado 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</si>
</sst>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28"/>
      <color theme="1"/>
      <name val="Calibri"/>
      <family val="2"/>
      <scheme val="minor"/>
    </font>
    <font>
      <b/>
      <sz val="40"/>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6" tint="-0.249977111117893"/>
      <name val="Arial Narrow"/>
      <family val="2"/>
    </font>
    <font>
      <b/>
      <sz val="10"/>
      <color theme="1"/>
      <name val="Arial Narrow"/>
      <family val="2"/>
    </font>
    <font>
      <sz val="14"/>
      <color theme="1"/>
      <name val="Arial Narrow"/>
      <family val="2"/>
    </font>
    <font>
      <b/>
      <sz val="14"/>
      <color theme="1"/>
      <name val="Calibri"/>
      <family val="2"/>
    </font>
    <font>
      <b/>
      <sz val="14"/>
      <color theme="0"/>
      <name val="Calibri"/>
      <family val="2"/>
    </font>
    <font>
      <sz val="24"/>
      <color theme="1"/>
      <name val="Calibri"/>
      <family val="2"/>
      <scheme val="minor"/>
    </font>
    <font>
      <sz val="18"/>
      <color theme="1"/>
      <name val="Calibri"/>
      <family val="2"/>
      <scheme val="minor"/>
    </font>
    <font>
      <sz val="12"/>
      <name val="Arial"/>
      <family val="2"/>
    </font>
    <font>
      <b/>
      <sz val="10"/>
      <color rgb="FFFF0000"/>
      <name val="Arial Narrow"/>
      <family val="2"/>
    </font>
    <font>
      <u/>
      <sz val="11"/>
      <color theme="10"/>
      <name val="Calibri"/>
      <family val="2"/>
      <scheme val="minor"/>
    </font>
    <font>
      <sz val="8"/>
      <name val="Calibri"/>
      <family val="2"/>
      <scheme val="minor"/>
    </font>
  </fonts>
  <fills count="18">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9" tint="-0.249977111117893"/>
        <bgColor indexed="64"/>
      </patternFill>
    </fill>
    <fill>
      <patternFill patternType="solid">
        <fgColor rgb="FF00B0F0"/>
        <bgColor indexed="64"/>
      </patternFill>
    </fill>
  </fills>
  <borders count="82">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double">
        <color indexed="64"/>
      </left>
      <right/>
      <top style="double">
        <color indexed="64"/>
      </top>
      <bottom style="thin">
        <color indexed="64"/>
      </bottom>
      <diagonal/>
    </border>
    <border>
      <left/>
      <right style="thin">
        <color theme="0"/>
      </right>
      <top style="double">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medium">
        <color indexed="64"/>
      </left>
      <right style="double">
        <color indexed="64"/>
      </right>
      <top/>
      <bottom/>
      <diagonal/>
    </border>
    <border>
      <left/>
      <right/>
      <top style="double">
        <color indexed="64"/>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double">
        <color indexed="64"/>
      </right>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8">
    <xf numFmtId="0" fontId="0" fillId="0" borderId="0"/>
    <xf numFmtId="9" fontId="14" fillId="0" borderId="0" applyFont="0" applyFill="0" applyBorder="0" applyAlignment="0" applyProtection="0"/>
    <xf numFmtId="0" fontId="39" fillId="0" borderId="0"/>
    <xf numFmtId="0" fontId="40" fillId="0" borderId="0"/>
    <xf numFmtId="0" fontId="5" fillId="0" borderId="0"/>
    <xf numFmtId="0" fontId="55" fillId="0" borderId="0"/>
    <xf numFmtId="0" fontId="56" fillId="0" borderId="0"/>
    <xf numFmtId="0" fontId="58" fillId="0" borderId="0" applyNumberFormat="0" applyFill="0" applyBorder="0" applyAlignment="0" applyProtection="0"/>
  </cellStyleXfs>
  <cellXfs count="352">
    <xf numFmtId="0" fontId="0" fillId="0" borderId="0" xfId="0"/>
    <xf numFmtId="0" fontId="1" fillId="0" borderId="0" xfId="0" applyFont="1"/>
    <xf numFmtId="0" fontId="1" fillId="0" borderId="0" xfId="0" applyFont="1" applyAlignment="1">
      <alignment horizontal="center"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2" xfId="0" applyFont="1" applyFill="1" applyBorder="1" applyAlignment="1">
      <alignment horizontal="center" vertical="center" wrapText="1" readingOrder="1"/>
    </xf>
    <xf numFmtId="0" fontId="10" fillId="0" borderId="2" xfId="0" applyFont="1" applyBorder="1" applyAlignment="1">
      <alignment horizontal="justify" vertical="center" wrapText="1" readingOrder="1"/>
    </xf>
    <xf numFmtId="9" fontId="10" fillId="0" borderId="2"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5" fillId="0" borderId="0" xfId="0" applyFont="1"/>
    <xf numFmtId="0" fontId="13" fillId="0" borderId="0" xfId="0" applyFont="1"/>
    <xf numFmtId="0" fontId="4" fillId="3" borderId="0" xfId="0" applyFont="1" applyFill="1" applyAlignment="1">
      <alignment horizontal="center" vertical="center"/>
    </xf>
    <xf numFmtId="0" fontId="22" fillId="0" borderId="0" xfId="0" applyFont="1" applyAlignment="1">
      <alignment vertical="center"/>
    </xf>
    <xf numFmtId="0" fontId="23" fillId="0" borderId="0" xfId="0" applyFont="1"/>
    <xf numFmtId="0" fontId="21" fillId="0" borderId="0" xfId="0" applyFont="1"/>
    <xf numFmtId="0" fontId="0" fillId="0" borderId="0" xfId="0" pivotButton="1"/>
    <xf numFmtId="0" fontId="12" fillId="0" borderId="0" xfId="0" applyFont="1" applyAlignment="1">
      <alignment horizontal="justify" vertical="center" wrapText="1" readingOrder="1"/>
    </xf>
    <xf numFmtId="0" fontId="24" fillId="0" borderId="0" xfId="0" applyFont="1"/>
    <xf numFmtId="0" fontId="26" fillId="6" borderId="0" xfId="0" applyFont="1" applyFill="1" applyAlignment="1">
      <alignment horizontal="center" vertical="center" wrapText="1" readingOrder="1"/>
    </xf>
    <xf numFmtId="0" fontId="27" fillId="0" borderId="2" xfId="0" applyFont="1" applyBorder="1" applyAlignment="1">
      <alignment horizontal="justify" vertical="center" wrapText="1" readingOrder="1"/>
    </xf>
    <xf numFmtId="0" fontId="27" fillId="0" borderId="1" xfId="0" applyFont="1" applyBorder="1" applyAlignment="1">
      <alignment horizontal="justify" vertical="center" wrapText="1" readingOrder="1"/>
    </xf>
    <xf numFmtId="0" fontId="27" fillId="5" borderId="2" xfId="0" applyFont="1" applyFill="1" applyBorder="1" applyAlignment="1">
      <alignment horizontal="center" vertical="center" wrapText="1" readingOrder="1"/>
    </xf>
    <xf numFmtId="0" fontId="27" fillId="7" borderId="1" xfId="0" applyFont="1" applyFill="1" applyBorder="1" applyAlignment="1">
      <alignment horizontal="center" vertical="center" wrapText="1" readingOrder="1"/>
    </xf>
    <xf numFmtId="0" fontId="27" fillId="4" borderId="1" xfId="0" applyFont="1" applyFill="1" applyBorder="1" applyAlignment="1">
      <alignment horizontal="center" vertical="center" wrapText="1" readingOrder="1"/>
    </xf>
    <xf numFmtId="0" fontId="27" fillId="8" borderId="1" xfId="0" applyFont="1" applyFill="1" applyBorder="1" applyAlignment="1">
      <alignment horizontal="center" vertical="center" wrapText="1" readingOrder="1"/>
    </xf>
    <xf numFmtId="0" fontId="28" fillId="9" borderId="1" xfId="0" applyFont="1" applyFill="1" applyBorder="1" applyAlignment="1">
      <alignment horizontal="center" vertical="center" wrapText="1" readingOrder="1"/>
    </xf>
    <xf numFmtId="0" fontId="27" fillId="0" borderId="2" xfId="0" applyFont="1" applyBorder="1" applyAlignment="1">
      <alignment horizontal="center" vertical="center" wrapText="1" readingOrder="1"/>
    </xf>
    <xf numFmtId="0" fontId="27" fillId="0" borderId="1" xfId="0" applyFont="1" applyBorder="1" applyAlignment="1">
      <alignment horizontal="center" vertical="center" wrapText="1" readingOrder="1"/>
    </xf>
    <xf numFmtId="0" fontId="0" fillId="3" borderId="0" xfId="0" applyFill="1"/>
    <xf numFmtId="0" fontId="5" fillId="3" borderId="0" xfId="0" applyFont="1" applyFill="1"/>
    <xf numFmtId="0" fontId="30" fillId="3" borderId="0" xfId="0" applyFont="1" applyFill="1"/>
    <xf numFmtId="0" fontId="31" fillId="3" borderId="20" xfId="0" applyFont="1" applyFill="1" applyBorder="1" applyAlignment="1">
      <alignment horizontal="center" vertical="center" wrapText="1" readingOrder="1"/>
    </xf>
    <xf numFmtId="0" fontId="32" fillId="3" borderId="20" xfId="0" applyFont="1" applyFill="1" applyBorder="1" applyAlignment="1">
      <alignment horizontal="justify" vertical="center" wrapText="1" readingOrder="1"/>
    </xf>
    <xf numFmtId="9" fontId="31" fillId="3" borderId="29" xfId="0" applyNumberFormat="1" applyFont="1" applyFill="1" applyBorder="1" applyAlignment="1">
      <alignment horizontal="center" vertical="center" wrapText="1" readingOrder="1"/>
    </xf>
    <xf numFmtId="0" fontId="31" fillId="3" borderId="19" xfId="0" applyFont="1" applyFill="1" applyBorder="1" applyAlignment="1">
      <alignment horizontal="center" vertical="center" wrapText="1" readingOrder="1"/>
    </xf>
    <xf numFmtId="0" fontId="32" fillId="3" borderId="19" xfId="0" applyFont="1" applyFill="1" applyBorder="1" applyAlignment="1">
      <alignment horizontal="justify" vertical="center" wrapText="1" readingOrder="1"/>
    </xf>
    <xf numFmtId="9" fontId="31" fillId="3" borderId="24" xfId="0" applyNumberFormat="1" applyFont="1" applyFill="1" applyBorder="1" applyAlignment="1">
      <alignment horizontal="center" vertical="center" wrapText="1" readingOrder="1"/>
    </xf>
    <xf numFmtId="0" fontId="32" fillId="3" borderId="24" xfId="0" applyFont="1" applyFill="1" applyBorder="1" applyAlignment="1">
      <alignment horizontal="center" vertical="center" wrapText="1" readingOrder="1"/>
    </xf>
    <xf numFmtId="0" fontId="31" fillId="3" borderId="26" xfId="0" applyFont="1" applyFill="1" applyBorder="1" applyAlignment="1">
      <alignment horizontal="center" vertical="center" wrapText="1" readingOrder="1"/>
    </xf>
    <xf numFmtId="0" fontId="32" fillId="3" borderId="26" xfId="0" applyFont="1" applyFill="1" applyBorder="1" applyAlignment="1">
      <alignment horizontal="justify" vertical="center" wrapText="1" readingOrder="1"/>
    </xf>
    <xf numFmtId="0" fontId="32" fillId="3" borderId="27" xfId="0" applyFont="1" applyFill="1" applyBorder="1" applyAlignment="1">
      <alignment horizontal="center" vertical="center" wrapText="1" readingOrder="1"/>
    </xf>
    <xf numFmtId="0" fontId="38" fillId="3" borderId="0" xfId="0" applyFont="1" applyFill="1"/>
    <xf numFmtId="0" fontId="31" fillId="14" borderId="31" xfId="0" applyFont="1" applyFill="1" applyBorder="1" applyAlignment="1">
      <alignment horizontal="center" vertical="center" wrapText="1" readingOrder="1"/>
    </xf>
    <xf numFmtId="0" fontId="31" fillId="14" borderId="32" xfId="0" applyFont="1" applyFill="1" applyBorder="1" applyAlignment="1">
      <alignment horizontal="center" vertical="center" wrapText="1" readingOrder="1"/>
    </xf>
    <xf numFmtId="0" fontId="13" fillId="3" borderId="0" xfId="0" applyFont="1" applyFill="1"/>
    <xf numFmtId="0" fontId="25" fillId="3" borderId="0" xfId="0" applyFont="1" applyFill="1" applyAlignment="1">
      <alignment horizontal="center" vertical="center" wrapText="1"/>
    </xf>
    <xf numFmtId="0" fontId="12" fillId="3" borderId="0" xfId="0" applyFont="1" applyFill="1" applyAlignment="1">
      <alignment horizontal="justify" vertical="center" wrapText="1" readingOrder="1"/>
    </xf>
    <xf numFmtId="0" fontId="4" fillId="3" borderId="0" xfId="0" applyFont="1" applyFill="1" applyAlignment="1">
      <alignment vertical="center"/>
    </xf>
    <xf numFmtId="0" fontId="15" fillId="3" borderId="0" xfId="0" applyFont="1" applyFill="1"/>
    <xf numFmtId="0" fontId="4" fillId="3" borderId="0" xfId="0" applyFont="1" applyFill="1" applyAlignment="1">
      <alignment horizontal="left" vertical="center"/>
    </xf>
    <xf numFmtId="0" fontId="41" fillId="3" borderId="37" xfId="2" applyFont="1" applyFill="1" applyBorder="1"/>
    <xf numFmtId="0" fontId="41" fillId="3" borderId="38" xfId="2" applyFont="1" applyFill="1" applyBorder="1"/>
    <xf numFmtId="0" fontId="41" fillId="3" borderId="39" xfId="2" applyFont="1" applyFill="1" applyBorder="1"/>
    <xf numFmtId="0" fontId="0" fillId="3" borderId="6" xfId="0" applyFill="1" applyBorder="1"/>
    <xf numFmtId="0" fontId="43" fillId="3" borderId="0" xfId="2" quotePrefix="1" applyFont="1" applyFill="1" applyAlignment="1">
      <alignment horizontal="left" vertical="top" wrapText="1"/>
    </xf>
    <xf numFmtId="0" fontId="44" fillId="3" borderId="0" xfId="2" quotePrefix="1" applyFont="1" applyFill="1" applyAlignment="1">
      <alignment horizontal="left" vertical="top" wrapText="1"/>
    </xf>
    <xf numFmtId="0" fontId="44" fillId="3" borderId="60" xfId="2" quotePrefix="1" applyFont="1" applyFill="1" applyBorder="1" applyAlignment="1">
      <alignment horizontal="left" vertical="top" wrapText="1"/>
    </xf>
    <xf numFmtId="0" fontId="41" fillId="3" borderId="0" xfId="2" quotePrefix="1" applyFont="1" applyFill="1" applyAlignment="1">
      <alignment horizontal="left" vertical="top" wrapText="1"/>
    </xf>
    <xf numFmtId="0" fontId="41" fillId="3" borderId="60" xfId="2" quotePrefix="1" applyFont="1" applyFill="1" applyBorder="1" applyAlignment="1">
      <alignment horizontal="left" vertical="top" wrapText="1"/>
    </xf>
    <xf numFmtId="0" fontId="45" fillId="3" borderId="0" xfId="2" quotePrefix="1" applyFont="1" applyFill="1" applyAlignment="1">
      <alignment horizontal="left" vertical="top" wrapText="1"/>
    </xf>
    <xf numFmtId="0" fontId="45" fillId="3" borderId="66" xfId="2" quotePrefix="1" applyFont="1" applyFill="1" applyBorder="1" applyAlignment="1">
      <alignment horizontal="left" vertical="top" wrapText="1"/>
    </xf>
    <xf numFmtId="0" fontId="45" fillId="3" borderId="60" xfId="2" quotePrefix="1" applyFont="1" applyFill="1" applyBorder="1" applyAlignment="1">
      <alignment horizontal="left" vertical="top" wrapText="1"/>
    </xf>
    <xf numFmtId="0" fontId="41" fillId="3" borderId="66" xfId="2" applyFont="1" applyFill="1" applyBorder="1"/>
    <xf numFmtId="0" fontId="41" fillId="3" borderId="0" xfId="2" applyFont="1" applyFill="1"/>
    <xf numFmtId="0" fontId="41" fillId="3" borderId="60" xfId="2" applyFont="1" applyFill="1" applyBorder="1"/>
    <xf numFmtId="0" fontId="41" fillId="3" borderId="6" xfId="2" applyFont="1" applyFill="1" applyBorder="1"/>
    <xf numFmtId="0" fontId="41" fillId="3" borderId="5" xfId="2" applyFont="1" applyFill="1" applyBorder="1"/>
    <xf numFmtId="0" fontId="46" fillId="3" borderId="0" xfId="0" applyFont="1" applyFill="1" applyAlignment="1">
      <alignment horizontal="left" vertical="center" wrapText="1"/>
    </xf>
    <xf numFmtId="0" fontId="47" fillId="3" borderId="0" xfId="0" applyFont="1" applyFill="1" applyAlignment="1">
      <alignment horizontal="left" vertical="top" wrapText="1"/>
    </xf>
    <xf numFmtId="0" fontId="41" fillId="3" borderId="0" xfId="2" applyFont="1" applyFill="1" applyAlignment="1">
      <alignment horizontal="left" vertical="top" wrapText="1"/>
    </xf>
    <xf numFmtId="0" fontId="41" fillId="3" borderId="5" xfId="2" applyFont="1" applyFill="1" applyBorder="1" applyAlignment="1">
      <alignment horizontal="left" vertical="top" wrapText="1"/>
    </xf>
    <xf numFmtId="0" fontId="41" fillId="3" borderId="6" xfId="2" applyFont="1" applyFill="1" applyBorder="1" applyAlignment="1">
      <alignment horizontal="left" vertical="top" wrapText="1"/>
    </xf>
    <xf numFmtId="0" fontId="41" fillId="3" borderId="7" xfId="2" applyFont="1" applyFill="1" applyBorder="1"/>
    <xf numFmtId="0" fontId="41" fillId="3" borderId="9" xfId="2" applyFont="1" applyFill="1" applyBorder="1"/>
    <xf numFmtId="0" fontId="41" fillId="3" borderId="8" xfId="2" applyFont="1" applyFill="1" applyBorder="1"/>
    <xf numFmtId="0" fontId="1" fillId="0" borderId="0" xfId="0" applyFont="1" applyAlignment="1">
      <alignment horizontal="justify" vertical="center"/>
    </xf>
    <xf numFmtId="0" fontId="1" fillId="3" borderId="0" xfId="0" applyFont="1" applyFill="1" applyAlignment="1">
      <alignment vertical="center" wrapText="1"/>
    </xf>
    <xf numFmtId="0" fontId="1" fillId="0" borderId="0" xfId="0" applyFont="1" applyAlignment="1">
      <alignment vertical="center" wrapText="1"/>
    </xf>
    <xf numFmtId="0" fontId="1" fillId="3" borderId="0" xfId="0" applyFont="1" applyFill="1" applyAlignment="1">
      <alignment vertical="center"/>
    </xf>
    <xf numFmtId="0" fontId="1" fillId="0" borderId="0" xfId="0" applyFont="1" applyAlignment="1">
      <alignment vertical="center"/>
    </xf>
    <xf numFmtId="0" fontId="1" fillId="0" borderId="19" xfId="0" applyFont="1" applyBorder="1" applyAlignment="1">
      <alignment horizontal="center" vertical="center"/>
    </xf>
    <xf numFmtId="0" fontId="4" fillId="0" borderId="19" xfId="0" applyFont="1" applyBorder="1" applyAlignment="1" applyProtection="1">
      <alignment horizontal="center" vertical="center" textRotation="90" wrapText="1"/>
      <protection hidden="1"/>
    </xf>
    <xf numFmtId="0" fontId="1" fillId="0" borderId="19" xfId="0" applyFont="1" applyBorder="1" applyAlignment="1" applyProtection="1">
      <alignment horizontal="center" vertical="center" textRotation="90"/>
      <protection locked="0"/>
    </xf>
    <xf numFmtId="9" fontId="1" fillId="0" borderId="19" xfId="0" applyNumberFormat="1" applyFont="1" applyBorder="1" applyAlignment="1" applyProtection="1">
      <alignment horizontal="center" vertical="center"/>
      <protection hidden="1"/>
    </xf>
    <xf numFmtId="164" fontId="1" fillId="0" borderId="19" xfId="1" applyNumberFormat="1" applyFont="1" applyBorder="1" applyAlignment="1">
      <alignment horizontal="center" vertical="center"/>
    </xf>
    <xf numFmtId="0" fontId="4"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protection hidden="1"/>
    </xf>
    <xf numFmtId="0" fontId="6" fillId="0" borderId="19" xfId="0" applyFont="1" applyBorder="1" applyAlignment="1" applyProtection="1">
      <alignment horizontal="justify" vertical="center" wrapText="1"/>
      <protection locked="0"/>
    </xf>
    <xf numFmtId="0" fontId="6" fillId="3" borderId="19" xfId="0" applyFont="1" applyFill="1" applyBorder="1" applyAlignment="1" applyProtection="1">
      <alignment horizontal="justify" vertical="center" wrapText="1"/>
      <protection locked="0"/>
    </xf>
    <xf numFmtId="0" fontId="6" fillId="0" borderId="19" xfId="0" applyFont="1" applyBorder="1" applyAlignment="1" applyProtection="1">
      <alignment horizontal="left" vertical="center" wrapText="1"/>
      <protection locked="0"/>
    </xf>
    <xf numFmtId="0" fontId="53" fillId="0" borderId="0" xfId="0" applyFont="1" applyAlignment="1" applyProtection="1">
      <alignment vertical="center" wrapText="1" readingOrder="1"/>
      <protection hidden="1"/>
    </xf>
    <xf numFmtId="0" fontId="54" fillId="0" borderId="0" xfId="0" applyFont="1" applyAlignment="1">
      <alignment horizontal="center" vertical="center" wrapText="1"/>
    </xf>
    <xf numFmtId="0" fontId="52" fillId="16" borderId="0" xfId="0" applyFont="1" applyFill="1" applyAlignment="1" applyProtection="1">
      <alignment wrapText="1" readingOrder="1"/>
      <protection hidden="1"/>
    </xf>
    <xf numFmtId="0" fontId="52" fillId="9" borderId="0" xfId="0" applyFont="1" applyFill="1" applyAlignment="1" applyProtection="1">
      <alignment wrapText="1" readingOrder="1"/>
      <protection hidden="1"/>
    </xf>
    <xf numFmtId="0" fontId="52" fillId="13" borderId="0" xfId="0" applyFont="1" applyFill="1" applyAlignment="1" applyProtection="1">
      <alignment wrapText="1" readingOrder="1"/>
      <protection hidden="1"/>
    </xf>
    <xf numFmtId="0" fontId="52" fillId="7" borderId="0" xfId="0" applyFont="1" applyFill="1" applyAlignment="1" applyProtection="1">
      <alignment wrapText="1" readingOrder="1"/>
      <protection hidden="1"/>
    </xf>
    <xf numFmtId="0" fontId="52" fillId="16" borderId="3" xfId="0" applyFont="1" applyFill="1" applyBorder="1" applyAlignment="1" applyProtection="1">
      <alignment wrapText="1" readingOrder="1"/>
      <protection hidden="1"/>
    </xf>
    <xf numFmtId="0" fontId="52" fillId="16" borderId="10" xfId="0" applyFont="1" applyFill="1" applyBorder="1" applyAlignment="1" applyProtection="1">
      <alignment wrapText="1" readingOrder="1"/>
      <protection hidden="1"/>
    </xf>
    <xf numFmtId="0" fontId="52" fillId="16" borderId="4" xfId="0" applyFont="1" applyFill="1" applyBorder="1" applyAlignment="1" applyProtection="1">
      <alignment wrapText="1" readingOrder="1"/>
      <protection hidden="1"/>
    </xf>
    <xf numFmtId="0" fontId="52" fillId="16" borderId="5" xfId="0" applyFont="1" applyFill="1" applyBorder="1" applyAlignment="1" applyProtection="1">
      <alignment wrapText="1" readingOrder="1"/>
      <protection hidden="1"/>
    </xf>
    <xf numFmtId="0" fontId="52" fillId="16" borderId="6" xfId="0" applyFont="1" applyFill="1" applyBorder="1" applyAlignment="1" applyProtection="1">
      <alignment wrapText="1" readingOrder="1"/>
      <protection hidden="1"/>
    </xf>
    <xf numFmtId="0" fontId="52" fillId="16" borderId="7" xfId="0" applyFont="1" applyFill="1" applyBorder="1" applyAlignment="1" applyProtection="1">
      <alignment wrapText="1" readingOrder="1"/>
      <protection hidden="1"/>
    </xf>
    <xf numFmtId="0" fontId="52" fillId="16" borderId="9" xfId="0" applyFont="1" applyFill="1" applyBorder="1" applyAlignment="1" applyProtection="1">
      <alignment wrapText="1" readingOrder="1"/>
      <protection hidden="1"/>
    </xf>
    <xf numFmtId="0" fontId="52" fillId="16" borderId="8" xfId="0" applyFont="1" applyFill="1" applyBorder="1" applyAlignment="1" applyProtection="1">
      <alignment wrapText="1" readingOrder="1"/>
      <protection hidden="1"/>
    </xf>
    <xf numFmtId="0" fontId="52" fillId="13" borderId="3" xfId="0" applyFont="1" applyFill="1" applyBorder="1" applyAlignment="1" applyProtection="1">
      <alignment wrapText="1" readingOrder="1"/>
      <protection hidden="1"/>
    </xf>
    <xf numFmtId="0" fontId="52" fillId="13" borderId="10" xfId="0" applyFont="1" applyFill="1" applyBorder="1" applyAlignment="1" applyProtection="1">
      <alignment wrapText="1" readingOrder="1"/>
      <protection hidden="1"/>
    </xf>
    <xf numFmtId="0" fontId="52" fillId="13" borderId="4" xfId="0" applyFont="1" applyFill="1" applyBorder="1" applyAlignment="1" applyProtection="1">
      <alignment wrapText="1" readingOrder="1"/>
      <protection hidden="1"/>
    </xf>
    <xf numFmtId="0" fontId="52" fillId="13" borderId="5" xfId="0" applyFont="1" applyFill="1" applyBorder="1" applyAlignment="1" applyProtection="1">
      <alignment wrapText="1" readingOrder="1"/>
      <protection hidden="1"/>
    </xf>
    <xf numFmtId="0" fontId="52" fillId="13" borderId="6" xfId="0" applyFont="1" applyFill="1" applyBorder="1" applyAlignment="1" applyProtection="1">
      <alignment wrapText="1" readingOrder="1"/>
      <protection hidden="1"/>
    </xf>
    <xf numFmtId="0" fontId="52" fillId="13" borderId="7" xfId="0" applyFont="1" applyFill="1" applyBorder="1" applyAlignment="1" applyProtection="1">
      <alignment wrapText="1" readingOrder="1"/>
      <protection hidden="1"/>
    </xf>
    <xf numFmtId="0" fontId="52" fillId="13" borderId="9" xfId="0" applyFont="1" applyFill="1" applyBorder="1" applyAlignment="1" applyProtection="1">
      <alignment wrapText="1" readingOrder="1"/>
      <protection hidden="1"/>
    </xf>
    <xf numFmtId="0" fontId="52" fillId="13" borderId="8" xfId="0" applyFont="1" applyFill="1" applyBorder="1" applyAlignment="1" applyProtection="1">
      <alignment wrapText="1" readingOrder="1"/>
      <protection hidden="1"/>
    </xf>
    <xf numFmtId="0" fontId="52" fillId="7" borderId="3" xfId="0" applyFont="1" applyFill="1" applyBorder="1" applyAlignment="1" applyProtection="1">
      <alignment wrapText="1" readingOrder="1"/>
      <protection hidden="1"/>
    </xf>
    <xf numFmtId="0" fontId="52" fillId="7" borderId="10" xfId="0" applyFont="1" applyFill="1" applyBorder="1" applyAlignment="1" applyProtection="1">
      <alignment wrapText="1" readingOrder="1"/>
      <protection hidden="1"/>
    </xf>
    <xf numFmtId="0" fontId="52" fillId="7" borderId="5" xfId="0" applyFont="1" applyFill="1" applyBorder="1" applyAlignment="1" applyProtection="1">
      <alignment wrapText="1" readingOrder="1"/>
      <protection hidden="1"/>
    </xf>
    <xf numFmtId="0" fontId="52" fillId="7" borderId="7" xfId="0" applyFont="1" applyFill="1" applyBorder="1" applyAlignment="1" applyProtection="1">
      <alignment wrapText="1" readingOrder="1"/>
      <protection hidden="1"/>
    </xf>
    <xf numFmtId="0" fontId="52" fillId="7" borderId="9" xfId="0" applyFont="1" applyFill="1" applyBorder="1" applyAlignment="1" applyProtection="1">
      <alignment wrapText="1" readingOrder="1"/>
      <protection hidden="1"/>
    </xf>
    <xf numFmtId="0" fontId="52" fillId="9" borderId="10" xfId="0" applyFont="1" applyFill="1" applyBorder="1" applyAlignment="1" applyProtection="1">
      <alignment wrapText="1" readingOrder="1"/>
      <protection hidden="1"/>
    </xf>
    <xf numFmtId="0" fontId="52" fillId="9" borderId="4" xfId="0" applyFont="1" applyFill="1" applyBorder="1" applyAlignment="1" applyProtection="1">
      <alignment wrapText="1" readingOrder="1"/>
      <protection hidden="1"/>
    </xf>
    <xf numFmtId="0" fontId="52" fillId="9" borderId="6" xfId="0" applyFont="1" applyFill="1" applyBorder="1" applyAlignment="1" applyProtection="1">
      <alignment wrapText="1" readingOrder="1"/>
      <protection hidden="1"/>
    </xf>
    <xf numFmtId="0" fontId="52" fillId="9" borderId="9" xfId="0" applyFont="1" applyFill="1" applyBorder="1" applyAlignment="1" applyProtection="1">
      <alignment wrapText="1" readingOrder="1"/>
      <protection hidden="1"/>
    </xf>
    <xf numFmtId="0" fontId="52" fillId="9" borderId="8" xfId="0" applyFont="1" applyFill="1" applyBorder="1" applyAlignment="1" applyProtection="1">
      <alignment wrapText="1" readingOrder="1"/>
      <protection hidden="1"/>
    </xf>
    <xf numFmtId="0" fontId="52" fillId="9" borderId="3" xfId="0" applyFont="1" applyFill="1" applyBorder="1" applyAlignment="1" applyProtection="1">
      <alignment wrapText="1" readingOrder="1"/>
      <protection hidden="1"/>
    </xf>
    <xf numFmtId="0" fontId="52" fillId="9" borderId="5" xfId="0" applyFont="1" applyFill="1" applyBorder="1" applyAlignment="1" applyProtection="1">
      <alignment wrapText="1" readingOrder="1"/>
      <protection hidden="1"/>
    </xf>
    <xf numFmtId="0" fontId="52" fillId="9" borderId="7" xfId="0" applyFont="1" applyFill="1" applyBorder="1" applyAlignment="1" applyProtection="1">
      <alignment wrapText="1" readingOrder="1"/>
      <protection hidden="1"/>
    </xf>
    <xf numFmtId="0" fontId="50" fillId="3" borderId="19" xfId="0" applyFont="1" applyFill="1" applyBorder="1" applyAlignment="1">
      <alignment horizontal="center" vertical="center" textRotation="90"/>
    </xf>
    <xf numFmtId="0" fontId="6" fillId="0" borderId="19" xfId="0" applyFont="1" applyBorder="1" applyAlignment="1">
      <alignment horizontal="center" vertical="center"/>
    </xf>
    <xf numFmtId="9" fontId="6" fillId="0" borderId="19" xfId="0" applyNumberFormat="1" applyFont="1" applyBorder="1" applyAlignment="1" applyProtection="1">
      <alignment horizontal="center" vertical="center" wrapText="1"/>
      <protection hidden="1"/>
    </xf>
    <xf numFmtId="0" fontId="6" fillId="0" borderId="19" xfId="0" applyFont="1" applyBorder="1" applyAlignment="1">
      <alignment horizontal="center" vertical="center" wrapText="1"/>
    </xf>
    <xf numFmtId="0" fontId="6" fillId="0" borderId="19" xfId="0" applyFont="1" applyBorder="1" applyAlignment="1" applyProtection="1">
      <alignment horizontal="center" vertical="center" wrapText="1"/>
      <protection hidden="1"/>
    </xf>
    <xf numFmtId="0" fontId="6" fillId="0" borderId="19" xfId="0" applyFont="1" applyBorder="1" applyAlignment="1" applyProtection="1">
      <alignment horizontal="center" vertical="center" textRotation="90" wrapText="1"/>
      <protection locked="0"/>
    </xf>
    <xf numFmtId="164" fontId="6" fillId="0" borderId="19" xfId="1" applyNumberFormat="1" applyFont="1" applyBorder="1" applyAlignment="1">
      <alignment horizontal="center" vertical="center" wrapText="1"/>
    </xf>
    <xf numFmtId="0" fontId="50" fillId="0" borderId="19" xfId="0" applyFont="1" applyBorder="1" applyAlignment="1" applyProtection="1">
      <alignment horizontal="center" vertical="center" textRotation="90" wrapText="1"/>
      <protection hidden="1"/>
    </xf>
    <xf numFmtId="0" fontId="6" fillId="0" borderId="19" xfId="0" applyFont="1" applyBorder="1" applyAlignment="1" applyProtection="1">
      <alignment horizontal="justify" vertical="center"/>
      <protection locked="0"/>
    </xf>
    <xf numFmtId="0" fontId="6" fillId="0" borderId="19" xfId="0" applyFont="1" applyBorder="1" applyAlignment="1" applyProtection="1">
      <alignment horizontal="center" vertical="center" textRotation="90"/>
      <protection locked="0"/>
    </xf>
    <xf numFmtId="9" fontId="6" fillId="0" borderId="19" xfId="0" applyNumberFormat="1" applyFont="1" applyBorder="1" applyAlignment="1" applyProtection="1">
      <alignment horizontal="center" vertical="center"/>
      <protection hidden="1"/>
    </xf>
    <xf numFmtId="164" fontId="6" fillId="0" borderId="19" xfId="1" applyNumberFormat="1" applyFont="1" applyBorder="1" applyAlignment="1">
      <alignment horizontal="center" vertical="center"/>
    </xf>
    <xf numFmtId="0" fontId="50" fillId="0" borderId="19" xfId="0" applyFont="1" applyBorder="1" applyAlignment="1" applyProtection="1">
      <alignment horizontal="center" vertical="center" textRotation="90"/>
      <protection hidden="1"/>
    </xf>
    <xf numFmtId="0" fontId="6" fillId="0" borderId="19" xfId="0" applyFont="1" applyBorder="1" applyAlignment="1" applyProtection="1">
      <alignment horizontal="center" vertical="center"/>
      <protection hidden="1"/>
    </xf>
    <xf numFmtId="0" fontId="6" fillId="0" borderId="19" xfId="0" applyFont="1" applyBorder="1" applyAlignment="1">
      <alignment horizontal="justify" vertical="center" wrapText="1"/>
    </xf>
    <xf numFmtId="0" fontId="6" fillId="3" borderId="19" xfId="0" applyFont="1" applyFill="1" applyBorder="1" applyAlignment="1" applyProtection="1">
      <alignment horizontal="justify" vertical="center"/>
      <protection locked="0"/>
    </xf>
    <xf numFmtId="0" fontId="6" fillId="3" borderId="19" xfId="0" applyFont="1" applyFill="1" applyBorder="1" applyAlignment="1" applyProtection="1">
      <alignment horizontal="center" vertical="center" wrapText="1"/>
      <protection locked="0"/>
    </xf>
    <xf numFmtId="0" fontId="6" fillId="3" borderId="19" xfId="0" applyFont="1" applyFill="1" applyBorder="1" applyAlignment="1" applyProtection="1">
      <alignment horizontal="left" vertical="center" wrapText="1"/>
      <protection locked="0"/>
    </xf>
    <xf numFmtId="0" fontId="1" fillId="3" borderId="19" xfId="0" applyFont="1" applyFill="1" applyBorder="1" applyAlignment="1" applyProtection="1">
      <alignment horizontal="center" vertical="center" wrapText="1"/>
      <protection locked="0"/>
    </xf>
    <xf numFmtId="0" fontId="50" fillId="0" borderId="19" xfId="0" applyFont="1" applyBorder="1" applyAlignment="1" applyProtection="1">
      <alignment horizontal="center" vertical="center"/>
      <protection hidden="1"/>
    </xf>
    <xf numFmtId="0" fontId="50" fillId="0" borderId="19" xfId="0" applyFont="1" applyBorder="1" applyAlignment="1" applyProtection="1">
      <alignment horizontal="center" vertical="center" wrapText="1"/>
      <protection hidden="1"/>
    </xf>
    <xf numFmtId="9" fontId="6" fillId="0" borderId="19" xfId="0" applyNumberFormat="1" applyFont="1" applyBorder="1" applyAlignment="1" applyProtection="1">
      <alignment horizontal="center" vertical="center" wrapText="1"/>
      <protection locked="0"/>
    </xf>
    <xf numFmtId="0" fontId="6" fillId="13" borderId="19" xfId="0" applyFont="1" applyFill="1" applyBorder="1" applyAlignment="1">
      <alignment horizontal="center" vertical="center"/>
    </xf>
    <xf numFmtId="0" fontId="6" fillId="0" borderId="19"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protection locked="0"/>
    </xf>
    <xf numFmtId="0" fontId="41" fillId="0" borderId="19" xfId="0" applyFont="1" applyBorder="1" applyAlignment="1" applyProtection="1">
      <alignment horizontal="center" vertical="center" wrapText="1"/>
      <protection locked="0"/>
    </xf>
    <xf numFmtId="0" fontId="6" fillId="3" borderId="19" xfId="0" applyFont="1" applyFill="1" applyBorder="1" applyAlignment="1">
      <alignment horizontal="center" vertical="center"/>
    </xf>
    <xf numFmtId="0" fontId="41" fillId="3" borderId="19" xfId="0" applyFont="1" applyFill="1" applyBorder="1" applyAlignment="1" applyProtection="1">
      <alignment horizontal="left" vertical="center" wrapText="1"/>
      <protection locked="0"/>
    </xf>
    <xf numFmtId="0" fontId="1" fillId="0" borderId="78" xfId="0" applyFont="1" applyBorder="1" applyAlignment="1" applyProtection="1">
      <alignment horizontal="center" vertical="top" wrapText="1"/>
      <protection locked="0"/>
    </xf>
    <xf numFmtId="14" fontId="6" fillId="3" borderId="19" xfId="0" applyNumberFormat="1" applyFont="1" applyFill="1" applyBorder="1" applyAlignment="1" applyProtection="1">
      <alignment horizontal="center" vertical="center" wrapText="1"/>
      <protection locked="0"/>
    </xf>
    <xf numFmtId="0" fontId="6" fillId="3" borderId="19" xfId="0" applyFont="1" applyFill="1" applyBorder="1" applyAlignment="1" applyProtection="1">
      <alignment horizontal="center" vertical="center"/>
      <protection locked="0"/>
    </xf>
    <xf numFmtId="14" fontId="6" fillId="3" borderId="19" xfId="0" applyNumberFormat="1" applyFont="1" applyFill="1" applyBorder="1" applyAlignment="1" applyProtection="1">
      <alignment horizontal="center" vertical="center"/>
      <protection locked="0"/>
    </xf>
    <xf numFmtId="0" fontId="58" fillId="3" borderId="78" xfId="7" applyFill="1" applyBorder="1" applyAlignment="1">
      <alignment horizontal="center" vertical="center" wrapText="1"/>
    </xf>
    <xf numFmtId="0" fontId="6" fillId="3" borderId="78" xfId="0" applyFont="1" applyFill="1" applyBorder="1" applyAlignment="1">
      <alignment horizontal="center" vertical="center" wrapText="1"/>
    </xf>
    <xf numFmtId="14" fontId="6" fillId="3" borderId="78" xfId="0" applyNumberFormat="1" applyFont="1" applyFill="1" applyBorder="1" applyAlignment="1">
      <alignment horizontal="center" vertical="center" wrapText="1"/>
    </xf>
    <xf numFmtId="14" fontId="6" fillId="0" borderId="78" xfId="0" applyNumberFormat="1" applyFont="1" applyBorder="1" applyAlignment="1" applyProtection="1">
      <alignment horizontal="center" vertical="center" wrapText="1"/>
      <protection locked="0"/>
    </xf>
    <xf numFmtId="14" fontId="6" fillId="0" borderId="19" xfId="0" applyNumberFormat="1" applyFont="1" applyBorder="1" applyAlignment="1" applyProtection="1">
      <alignment horizontal="center" vertical="center"/>
      <protection locked="0"/>
    </xf>
    <xf numFmtId="0" fontId="1" fillId="0" borderId="19" xfId="0" applyFont="1" applyBorder="1" applyAlignment="1">
      <alignment vertical="center" wrapText="1"/>
    </xf>
    <xf numFmtId="0" fontId="58" fillId="0" borderId="0" xfId="7" applyAlignment="1">
      <alignment horizontal="center" vertical="center" wrapText="1"/>
    </xf>
    <xf numFmtId="14" fontId="6" fillId="13" borderId="19" xfId="0" applyNumberFormat="1" applyFont="1" applyFill="1" applyBorder="1" applyAlignment="1" applyProtection="1">
      <alignment horizontal="center" vertical="center" wrapText="1"/>
      <protection locked="0"/>
    </xf>
    <xf numFmtId="14" fontId="6" fillId="3" borderId="19" xfId="0" applyNumberFormat="1" applyFont="1" applyFill="1" applyBorder="1" applyAlignment="1" applyProtection="1">
      <alignment wrapText="1"/>
      <protection locked="0"/>
    </xf>
    <xf numFmtId="14" fontId="1" fillId="0" borderId="78" xfId="0" applyNumberFormat="1" applyFont="1" applyBorder="1" applyAlignment="1" applyProtection="1">
      <alignment horizontal="center" vertical="center" wrapText="1"/>
      <protection locked="0"/>
    </xf>
    <xf numFmtId="0" fontId="46" fillId="3" borderId="54" xfId="0" applyFont="1" applyFill="1" applyBorder="1" applyAlignment="1">
      <alignment horizontal="left" vertical="center" wrapText="1"/>
    </xf>
    <xf numFmtId="0" fontId="46" fillId="3" borderId="55" xfId="0" applyFont="1" applyFill="1" applyBorder="1" applyAlignment="1">
      <alignment horizontal="left" vertical="center" wrapText="1"/>
    </xf>
    <xf numFmtId="0" fontId="47" fillId="3" borderId="47" xfId="2" applyFont="1" applyFill="1" applyBorder="1" applyAlignment="1">
      <alignment horizontal="justify" vertical="center" wrapText="1"/>
    </xf>
    <xf numFmtId="0" fontId="47" fillId="3" borderId="48" xfId="2" applyFont="1" applyFill="1" applyBorder="1" applyAlignment="1">
      <alignment horizontal="justify" vertical="center" wrapText="1"/>
    </xf>
    <xf numFmtId="0" fontId="46" fillId="3" borderId="56" xfId="0" applyFont="1" applyFill="1" applyBorder="1" applyAlignment="1">
      <alignment horizontal="left" vertical="center" wrapText="1"/>
    </xf>
    <xf numFmtId="0" fontId="46" fillId="3" borderId="57" xfId="0" applyFont="1" applyFill="1" applyBorder="1" applyAlignment="1">
      <alignment horizontal="left" vertical="center" wrapText="1"/>
    </xf>
    <xf numFmtId="0" fontId="47" fillId="3" borderId="49" xfId="0" applyFont="1" applyFill="1" applyBorder="1" applyAlignment="1">
      <alignment horizontal="justify" vertical="center" wrapText="1"/>
    </xf>
    <xf numFmtId="0" fontId="47" fillId="3" borderId="50" xfId="0" applyFont="1" applyFill="1" applyBorder="1" applyAlignment="1">
      <alignment horizontal="justify" vertical="center" wrapText="1"/>
    </xf>
    <xf numFmtId="0" fontId="46" fillId="3" borderId="45" xfId="0" applyFont="1" applyFill="1" applyBorder="1" applyAlignment="1">
      <alignment horizontal="left" vertical="center" wrapText="1"/>
    </xf>
    <xf numFmtId="0" fontId="46" fillId="3" borderId="46" xfId="0" applyFont="1" applyFill="1" applyBorder="1" applyAlignment="1">
      <alignment horizontal="left" vertical="center" wrapText="1"/>
    </xf>
    <xf numFmtId="0" fontId="46" fillId="3" borderId="72" xfId="3" applyFont="1" applyFill="1" applyBorder="1" applyAlignment="1">
      <alignment horizontal="left" vertical="top" wrapText="1" readingOrder="1"/>
    </xf>
    <xf numFmtId="0" fontId="46" fillId="3" borderId="42" xfId="3" applyFont="1" applyFill="1" applyBorder="1" applyAlignment="1">
      <alignment horizontal="left" vertical="top" wrapText="1" readingOrder="1"/>
    </xf>
    <xf numFmtId="0" fontId="47" fillId="3" borderId="73" xfId="2" applyFont="1" applyFill="1" applyBorder="1" applyAlignment="1">
      <alignment horizontal="justify" vertical="center" wrapText="1"/>
    </xf>
    <xf numFmtId="0" fontId="47" fillId="3" borderId="64" xfId="2" applyFont="1" applyFill="1" applyBorder="1" applyAlignment="1">
      <alignment horizontal="justify" vertical="center" wrapText="1"/>
    </xf>
    <xf numFmtId="0" fontId="47" fillId="3" borderId="43" xfId="2" applyFont="1" applyFill="1" applyBorder="1" applyAlignment="1">
      <alignment horizontal="justify" vertical="center" wrapText="1"/>
    </xf>
    <xf numFmtId="0" fontId="47" fillId="3" borderId="44" xfId="2" applyFont="1" applyFill="1" applyBorder="1" applyAlignment="1">
      <alignment horizontal="justify" vertical="center" wrapText="1"/>
    </xf>
    <xf numFmtId="0" fontId="46" fillId="3" borderId="74" xfId="3" applyFont="1" applyFill="1" applyBorder="1" applyAlignment="1">
      <alignment horizontal="left" vertical="top" wrapText="1" readingOrder="1"/>
    </xf>
    <xf numFmtId="0" fontId="46" fillId="3" borderId="75" xfId="3" applyFont="1" applyFill="1" applyBorder="1" applyAlignment="1">
      <alignment horizontal="left" vertical="top" wrapText="1" readingOrder="1"/>
    </xf>
    <xf numFmtId="0" fontId="47" fillId="3" borderId="63" xfId="2" applyFont="1" applyFill="1" applyBorder="1" applyAlignment="1">
      <alignment horizontal="justify" vertical="center" wrapText="1"/>
    </xf>
    <xf numFmtId="0" fontId="46" fillId="3" borderId="76" xfId="3" applyFont="1" applyFill="1" applyBorder="1" applyAlignment="1">
      <alignment horizontal="left" vertical="top" wrapText="1" readingOrder="1"/>
    </xf>
    <xf numFmtId="0" fontId="46" fillId="3" borderId="77" xfId="3" applyFont="1" applyFill="1" applyBorder="1" applyAlignment="1">
      <alignment horizontal="left" vertical="top" wrapText="1" readingOrder="1"/>
    </xf>
    <xf numFmtId="0" fontId="47" fillId="3" borderId="77" xfId="2" applyFont="1" applyFill="1" applyBorder="1" applyAlignment="1">
      <alignment horizontal="justify" vertical="center" wrapText="1"/>
    </xf>
    <xf numFmtId="0" fontId="47" fillId="3" borderId="65" xfId="2" applyFont="1" applyFill="1" applyBorder="1" applyAlignment="1">
      <alignment horizontal="justify" vertical="center" wrapText="1"/>
    </xf>
    <xf numFmtId="0" fontId="45" fillId="3" borderId="5" xfId="2" quotePrefix="1" applyFont="1" applyFill="1" applyBorder="1" applyAlignment="1">
      <alignment horizontal="center" vertical="top" wrapText="1"/>
    </xf>
    <xf numFmtId="0" fontId="45" fillId="3" borderId="0" xfId="2" quotePrefix="1" applyFont="1" applyFill="1" applyAlignment="1">
      <alignment horizontal="center" vertical="top" wrapText="1"/>
    </xf>
    <xf numFmtId="0" fontId="45" fillId="3" borderId="60" xfId="2" quotePrefix="1" applyFont="1" applyFill="1" applyBorder="1" applyAlignment="1">
      <alignment horizontal="center" vertical="top" wrapText="1"/>
    </xf>
    <xf numFmtId="0" fontId="46" fillId="15" borderId="67" xfId="3" applyFont="1" applyFill="1" applyBorder="1" applyAlignment="1">
      <alignment horizontal="center" vertical="center" wrapText="1"/>
    </xf>
    <xf numFmtId="0" fontId="46" fillId="15" borderId="62" xfId="3" applyFont="1" applyFill="1" applyBorder="1" applyAlignment="1">
      <alignment horizontal="center" vertical="center" wrapText="1"/>
    </xf>
    <xf numFmtId="0" fontId="46" fillId="15" borderId="40" xfId="2" applyFont="1" applyFill="1" applyBorder="1" applyAlignment="1">
      <alignment horizontal="center" vertical="center"/>
    </xf>
    <xf numFmtId="0" fontId="46" fillId="15" borderId="41" xfId="2" applyFont="1" applyFill="1" applyBorder="1" applyAlignment="1">
      <alignment horizontal="center" vertical="center"/>
    </xf>
    <xf numFmtId="0" fontId="46" fillId="3" borderId="68" xfId="3" applyFont="1" applyFill="1" applyBorder="1" applyAlignment="1">
      <alignment horizontal="left" vertical="top" wrapText="1" readingOrder="1"/>
    </xf>
    <xf numFmtId="0" fontId="46" fillId="3" borderId="69" xfId="3" applyFont="1" applyFill="1" applyBorder="1" applyAlignment="1">
      <alignment horizontal="left" vertical="top" wrapText="1" readingOrder="1"/>
    </xf>
    <xf numFmtId="0" fontId="47" fillId="3" borderId="70" xfId="2" applyFont="1" applyFill="1" applyBorder="1" applyAlignment="1">
      <alignment horizontal="justify" vertical="center" wrapText="1"/>
    </xf>
    <xf numFmtId="0" fontId="47" fillId="3" borderId="71" xfId="2" applyFont="1" applyFill="1" applyBorder="1" applyAlignment="1">
      <alignment horizontal="justify" vertical="center" wrapText="1"/>
    </xf>
    <xf numFmtId="0" fontId="46" fillId="15" borderId="61" xfId="3" applyFont="1" applyFill="1" applyBorder="1" applyAlignment="1">
      <alignment horizontal="center" vertical="center" wrapText="1"/>
    </xf>
    <xf numFmtId="0" fontId="46" fillId="15" borderId="67" xfId="2" applyFont="1" applyFill="1" applyBorder="1" applyAlignment="1">
      <alignment horizontal="center" vertical="center"/>
    </xf>
    <xf numFmtId="0" fontId="42" fillId="15" borderId="34" xfId="2" applyFont="1" applyFill="1" applyBorder="1" applyAlignment="1">
      <alignment horizontal="center" vertical="center" wrapText="1"/>
    </xf>
    <xf numFmtId="0" fontId="42" fillId="15" borderId="35" xfId="2" applyFont="1" applyFill="1" applyBorder="1" applyAlignment="1">
      <alignment horizontal="center" vertical="center" wrapText="1"/>
    </xf>
    <xf numFmtId="0" fontId="42" fillId="15" borderId="36" xfId="2" applyFont="1" applyFill="1" applyBorder="1" applyAlignment="1">
      <alignment horizontal="center" vertical="center" wrapText="1"/>
    </xf>
    <xf numFmtId="0" fontId="41" fillId="0" borderId="5" xfId="2" quotePrefix="1" applyFont="1" applyBorder="1" applyAlignment="1">
      <alignment horizontal="left" vertical="center" wrapText="1"/>
    </xf>
    <xf numFmtId="0" fontId="41" fillId="0" borderId="0" xfId="2" quotePrefix="1" applyFont="1" applyAlignment="1">
      <alignment horizontal="left" vertical="center" wrapText="1"/>
    </xf>
    <xf numFmtId="0" fontId="41" fillId="0" borderId="6" xfId="2" quotePrefix="1" applyFont="1" applyBorder="1" applyAlignment="1">
      <alignment horizontal="left" vertical="center" wrapText="1"/>
    </xf>
    <xf numFmtId="0" fontId="41" fillId="0" borderId="51" xfId="2" quotePrefix="1" applyFont="1" applyBorder="1" applyAlignment="1">
      <alignment horizontal="left" vertical="center" wrapText="1"/>
    </xf>
    <xf numFmtId="0" fontId="41" fillId="0" borderId="52" xfId="2" quotePrefix="1" applyFont="1" applyBorder="1" applyAlignment="1">
      <alignment horizontal="left" vertical="center" wrapText="1"/>
    </xf>
    <xf numFmtId="0" fontId="41" fillId="0" borderId="53" xfId="2" quotePrefix="1" applyFont="1" applyBorder="1" applyAlignment="1">
      <alignment horizontal="left" vertical="center" wrapText="1"/>
    </xf>
    <xf numFmtId="0" fontId="43" fillId="3" borderId="38" xfId="2" quotePrefix="1" applyFont="1" applyFill="1" applyBorder="1" applyAlignment="1">
      <alignment horizontal="left" vertical="top" wrapText="1"/>
    </xf>
    <xf numFmtId="0" fontId="44" fillId="3" borderId="38" xfId="2" quotePrefix="1" applyFont="1" applyFill="1" applyBorder="1" applyAlignment="1">
      <alignment horizontal="left" vertical="top" wrapText="1"/>
    </xf>
    <xf numFmtId="0" fontId="44" fillId="3" borderId="58" xfId="2" quotePrefix="1" applyFont="1" applyFill="1" applyBorder="1" applyAlignment="1">
      <alignment horizontal="left" vertical="top" wrapText="1"/>
    </xf>
    <xf numFmtId="0" fontId="2" fillId="3" borderId="52" xfId="2" quotePrefix="1" applyFont="1" applyFill="1" applyBorder="1" applyAlignment="1">
      <alignment horizontal="justify" vertical="center" wrapText="1"/>
    </xf>
    <xf numFmtId="0" fontId="2" fillId="3" borderId="59" xfId="2" quotePrefix="1" applyFont="1" applyFill="1" applyBorder="1" applyAlignment="1">
      <alignment horizontal="justify" vertical="center" wrapText="1"/>
    </xf>
    <xf numFmtId="0" fontId="41" fillId="3" borderId="0" xfId="2" quotePrefix="1" applyFont="1" applyFill="1" applyAlignment="1">
      <alignment horizontal="left" vertical="top" wrapText="1"/>
    </xf>
    <xf numFmtId="0" fontId="41" fillId="3" borderId="60" xfId="2" quotePrefix="1" applyFont="1" applyFill="1" applyBorder="1" applyAlignment="1">
      <alignment horizontal="left" vertical="top" wrapText="1"/>
    </xf>
    <xf numFmtId="9" fontId="1" fillId="0" borderId="19" xfId="0" applyNumberFormat="1" applyFont="1" applyBorder="1" applyAlignment="1" applyProtection="1">
      <alignment horizontal="center" vertical="center" wrapText="1"/>
      <protection locked="0"/>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protection hidden="1"/>
    </xf>
    <xf numFmtId="0" fontId="50" fillId="0" borderId="19" xfId="0" applyFont="1" applyBorder="1" applyAlignment="1" applyProtection="1">
      <alignment horizontal="center" vertical="center" wrapText="1"/>
      <protection hidden="1"/>
    </xf>
    <xf numFmtId="9" fontId="6" fillId="0" borderId="19" xfId="0" applyNumberFormat="1" applyFont="1" applyBorder="1" applyAlignment="1" applyProtection="1">
      <alignment horizontal="center" vertical="center" wrapText="1"/>
      <protection hidden="1"/>
    </xf>
    <xf numFmtId="0" fontId="50" fillId="0" borderId="19" xfId="0" applyFont="1" applyBorder="1" applyAlignment="1" applyProtection="1">
      <alignment horizontal="center" vertical="center"/>
      <protection hidden="1"/>
    </xf>
    <xf numFmtId="9" fontId="6" fillId="0" borderId="19" xfId="0" applyNumberFormat="1" applyFont="1" applyBorder="1" applyAlignment="1" applyProtection="1">
      <alignment horizontal="center" vertical="center" wrapText="1"/>
      <protection locked="0"/>
    </xf>
    <xf numFmtId="0" fontId="1" fillId="0" borderId="19" xfId="0" applyFont="1" applyBorder="1" applyAlignment="1" applyProtection="1">
      <alignment horizontal="center" vertical="center"/>
      <protection locked="0"/>
    </xf>
    <xf numFmtId="0" fontId="1" fillId="0" borderId="19" xfId="0" applyFont="1" applyBorder="1" applyAlignment="1">
      <alignment horizontal="center" vertical="center"/>
    </xf>
    <xf numFmtId="0" fontId="1" fillId="0" borderId="19"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6" fillId="13" borderId="19" xfId="0" applyFont="1" applyFill="1" applyBorder="1" applyAlignment="1">
      <alignment horizontal="center" vertical="center"/>
    </xf>
    <xf numFmtId="0" fontId="6" fillId="0" borderId="19" xfId="0" applyFont="1" applyBorder="1" applyAlignment="1">
      <alignment horizontal="center" vertical="center"/>
    </xf>
    <xf numFmtId="0" fontId="6" fillId="0" borderId="19" xfId="0" applyFont="1" applyBorder="1" applyAlignment="1" applyProtection="1">
      <alignment horizontal="center" vertical="center" wrapText="1"/>
      <protection locked="0"/>
    </xf>
    <xf numFmtId="0" fontId="41" fillId="0" borderId="19"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protection locked="0"/>
    </xf>
    <xf numFmtId="0" fontId="6" fillId="3" borderId="19" xfId="0" applyFont="1" applyFill="1" applyBorder="1" applyAlignment="1">
      <alignment horizontal="center" vertical="center"/>
    </xf>
    <xf numFmtId="0" fontId="6" fillId="13" borderId="78" xfId="0" applyFont="1" applyFill="1" applyBorder="1" applyAlignment="1">
      <alignment horizontal="center" vertical="center"/>
    </xf>
    <xf numFmtId="0" fontId="6" fillId="13" borderId="20" xfId="0" applyFont="1" applyFill="1" applyBorder="1" applyAlignment="1">
      <alignment horizontal="center" vertical="center"/>
    </xf>
    <xf numFmtId="0" fontId="6" fillId="0" borderId="78" xfId="0" applyFont="1" applyBorder="1" applyAlignment="1" applyProtection="1">
      <alignment horizontal="center" vertical="center" wrapText="1"/>
      <protection locked="0"/>
    </xf>
    <xf numFmtId="0" fontId="6" fillId="0" borderId="20" xfId="0" applyFont="1" applyBorder="1" applyAlignment="1" applyProtection="1">
      <alignment horizontal="center" vertical="center" wrapText="1"/>
      <protection locked="0"/>
    </xf>
    <xf numFmtId="0" fontId="41" fillId="0" borderId="78" xfId="0" applyFont="1" applyBorder="1" applyAlignment="1" applyProtection="1">
      <alignment horizontal="center" vertical="center" wrapText="1"/>
      <protection locked="0"/>
    </xf>
    <xf numFmtId="0" fontId="41" fillId="0" borderId="20" xfId="0" applyFont="1" applyBorder="1" applyAlignment="1" applyProtection="1">
      <alignment horizontal="center" vertical="center" wrapText="1"/>
      <protection locked="0"/>
    </xf>
    <xf numFmtId="0" fontId="6" fillId="3" borderId="78" xfId="0" applyFont="1" applyFill="1" applyBorder="1" applyAlignment="1">
      <alignment horizontal="center" vertical="center"/>
    </xf>
    <xf numFmtId="0" fontId="6" fillId="3" borderId="20" xfId="0" applyFont="1" applyFill="1" applyBorder="1" applyAlignment="1">
      <alignment horizontal="center" vertical="center"/>
    </xf>
    <xf numFmtId="0" fontId="50" fillId="3" borderId="19" xfId="0" applyFont="1" applyFill="1" applyBorder="1" applyAlignment="1">
      <alignment horizontal="center" vertical="center" textRotation="90"/>
    </xf>
    <xf numFmtId="0" fontId="50" fillId="3" borderId="19" xfId="0" applyFont="1" applyFill="1" applyBorder="1" applyAlignment="1">
      <alignment horizontal="center" vertical="center" wrapText="1"/>
    </xf>
    <xf numFmtId="0" fontId="50" fillId="3" borderId="19" xfId="0" applyFont="1" applyFill="1" applyBorder="1" applyAlignment="1">
      <alignment horizontal="center" vertical="center"/>
    </xf>
    <xf numFmtId="0" fontId="4" fillId="5" borderId="19" xfId="0" applyFont="1" applyFill="1" applyBorder="1" applyAlignment="1">
      <alignment horizontal="center" vertical="center"/>
    </xf>
    <xf numFmtId="0" fontId="41" fillId="3" borderId="19" xfId="0" applyFont="1" applyFill="1" applyBorder="1" applyAlignment="1" applyProtection="1">
      <alignment horizontal="center" vertical="center" wrapText="1"/>
      <protection locked="0"/>
    </xf>
    <xf numFmtId="0" fontId="41" fillId="0" borderId="19" xfId="0" applyFont="1" applyBorder="1" applyAlignment="1" applyProtection="1">
      <alignment horizontal="center" vertical="center"/>
      <protection locked="0"/>
    </xf>
    <xf numFmtId="0" fontId="50" fillId="13" borderId="19" xfId="0" applyFont="1" applyFill="1" applyBorder="1" applyAlignment="1">
      <alignment horizontal="center" vertical="center"/>
    </xf>
    <xf numFmtId="0" fontId="50" fillId="3" borderId="19" xfId="0" applyFont="1" applyFill="1" applyBorder="1" applyAlignment="1">
      <alignment horizontal="center" vertical="center" textRotation="90" wrapText="1"/>
    </xf>
    <xf numFmtId="0" fontId="4" fillId="5" borderId="79" xfId="0" applyFont="1" applyFill="1" applyBorder="1" applyAlignment="1">
      <alignment horizontal="center" vertical="center"/>
    </xf>
    <xf numFmtId="0" fontId="4" fillId="5" borderId="63" xfId="0" applyFont="1" applyFill="1" applyBorder="1" applyAlignment="1">
      <alignment horizontal="center" vertical="center"/>
    </xf>
    <xf numFmtId="0" fontId="4" fillId="5" borderId="80" xfId="0" applyFont="1" applyFill="1" applyBorder="1" applyAlignment="1">
      <alignment horizontal="center" vertical="center"/>
    </xf>
    <xf numFmtId="9" fontId="6" fillId="0" borderId="78" xfId="0" applyNumberFormat="1" applyFont="1" applyBorder="1" applyAlignment="1" applyProtection="1">
      <alignment horizontal="center" vertical="center" wrapText="1"/>
      <protection hidden="1"/>
    </xf>
    <xf numFmtId="9" fontId="6" fillId="0" borderId="20" xfId="0" applyNumberFormat="1" applyFont="1" applyBorder="1" applyAlignment="1" applyProtection="1">
      <alignment horizontal="center" vertical="center" wrapText="1"/>
      <protection hidden="1"/>
    </xf>
    <xf numFmtId="0" fontId="50" fillId="0" borderId="78" xfId="0" applyFont="1" applyBorder="1" applyAlignment="1" applyProtection="1">
      <alignment horizontal="center" vertical="center"/>
      <protection hidden="1"/>
    </xf>
    <xf numFmtId="0" fontId="50" fillId="0" borderId="20" xfId="0" applyFont="1" applyBorder="1" applyAlignment="1" applyProtection="1">
      <alignment horizontal="center" vertical="center"/>
      <protection hidden="1"/>
    </xf>
    <xf numFmtId="0" fontId="50" fillId="0" borderId="78" xfId="0" applyFont="1" applyBorder="1" applyAlignment="1" applyProtection="1">
      <alignment horizontal="center" vertical="center" wrapText="1"/>
      <protection hidden="1"/>
    </xf>
    <xf numFmtId="0" fontId="50" fillId="0" borderId="20" xfId="0" applyFont="1" applyBorder="1" applyAlignment="1" applyProtection="1">
      <alignment horizontal="center" vertical="center" wrapText="1"/>
      <protection hidden="1"/>
    </xf>
    <xf numFmtId="0" fontId="6" fillId="0" borderId="78" xfId="0" applyFont="1" applyBorder="1" applyAlignment="1" applyProtection="1">
      <alignment horizontal="center" vertical="center"/>
      <protection locked="0"/>
    </xf>
    <xf numFmtId="0" fontId="6" fillId="0" borderId="20" xfId="0" applyFont="1" applyBorder="1" applyAlignment="1" applyProtection="1">
      <alignment horizontal="center" vertical="center"/>
      <protection locked="0"/>
    </xf>
    <xf numFmtId="9" fontId="6" fillId="0" borderId="78" xfId="0" applyNumberFormat="1" applyFont="1" applyBorder="1" applyAlignment="1" applyProtection="1">
      <alignment horizontal="center" vertical="center" wrapText="1"/>
      <protection locked="0"/>
    </xf>
    <xf numFmtId="9" fontId="6" fillId="0" borderId="20" xfId="0" applyNumberFormat="1" applyFont="1" applyBorder="1" applyAlignment="1" applyProtection="1">
      <alignment horizontal="center" vertical="center" wrapText="1"/>
      <protection locked="0"/>
    </xf>
    <xf numFmtId="0" fontId="51" fillId="3" borderId="19" xfId="0" applyFont="1" applyFill="1" applyBorder="1" applyAlignment="1" applyProtection="1">
      <alignment horizontal="center" vertical="center" wrapText="1"/>
      <protection locked="0"/>
    </xf>
    <xf numFmtId="0" fontId="50" fillId="3" borderId="19" xfId="0" applyFont="1" applyFill="1" applyBorder="1" applyAlignment="1">
      <alignment horizontal="left" vertical="center"/>
    </xf>
    <xf numFmtId="0" fontId="45" fillId="3" borderId="19" xfId="0" applyFont="1" applyFill="1" applyBorder="1" applyAlignment="1">
      <alignment horizontal="left" vertical="center"/>
    </xf>
    <xf numFmtId="0" fontId="57" fillId="3" borderId="19" xfId="0" applyFont="1" applyFill="1" applyBorder="1" applyAlignment="1">
      <alignment horizontal="left" vertical="center"/>
    </xf>
    <xf numFmtId="0" fontId="4" fillId="4" borderId="79" xfId="0" applyFont="1" applyFill="1" applyBorder="1" applyAlignment="1">
      <alignment horizontal="center" vertical="center"/>
    </xf>
    <xf numFmtId="0" fontId="4" fillId="4" borderId="63" xfId="0" applyFont="1" applyFill="1" applyBorder="1" applyAlignment="1">
      <alignment horizontal="center" vertical="center"/>
    </xf>
    <xf numFmtId="0" fontId="4" fillId="17" borderId="79" xfId="0" applyFont="1" applyFill="1" applyBorder="1" applyAlignment="1">
      <alignment horizontal="center" vertical="center"/>
    </xf>
    <xf numFmtId="0" fontId="4" fillId="17" borderId="80" xfId="0" applyFont="1" applyFill="1" applyBorder="1" applyAlignment="1">
      <alignment horizontal="center" vertical="center"/>
    </xf>
    <xf numFmtId="0" fontId="50" fillId="3" borderId="78" xfId="0" applyFont="1" applyFill="1" applyBorder="1" applyAlignment="1">
      <alignment horizontal="center" vertical="center" wrapText="1"/>
    </xf>
    <xf numFmtId="0" fontId="50" fillId="3" borderId="20" xfId="0" applyFont="1" applyFill="1" applyBorder="1" applyAlignment="1">
      <alignment horizontal="center" vertical="center" wrapText="1"/>
    </xf>
    <xf numFmtId="0" fontId="35" fillId="3" borderId="81" xfId="0" applyFont="1" applyFill="1" applyBorder="1" applyAlignment="1" applyProtection="1">
      <alignment horizontal="center" vertical="center" wrapText="1"/>
      <protection locked="0"/>
    </xf>
    <xf numFmtId="0" fontId="35" fillId="3" borderId="0" xfId="0" applyFont="1" applyFill="1" applyAlignment="1" applyProtection="1">
      <alignment horizontal="center" vertical="center" wrapText="1"/>
      <protection locked="0"/>
    </xf>
    <xf numFmtId="0" fontId="35" fillId="3" borderId="60" xfId="0" applyFont="1" applyFill="1" applyBorder="1" applyAlignment="1" applyProtection="1">
      <alignment horizontal="center" vertical="center" wrapText="1"/>
      <protection locked="0"/>
    </xf>
    <xf numFmtId="0" fontId="54" fillId="0" borderId="7" xfId="0" applyFont="1" applyBorder="1" applyAlignment="1">
      <alignment horizontal="center" vertical="center" wrapText="1"/>
    </xf>
    <xf numFmtId="0" fontId="54" fillId="0" borderId="9" xfId="0" applyFont="1" applyBorder="1" applyAlignment="1">
      <alignment horizontal="center" vertical="center" wrapText="1"/>
    </xf>
    <xf numFmtId="0" fontId="54" fillId="0" borderId="8" xfId="0" applyFont="1" applyBorder="1" applyAlignment="1">
      <alignment horizontal="center" vertical="center" wrapText="1"/>
    </xf>
    <xf numFmtId="0" fontId="20" fillId="0" borderId="0" xfId="0" applyFont="1" applyAlignment="1">
      <alignment horizontal="center" vertical="center" wrapText="1"/>
    </xf>
    <xf numFmtId="0" fontId="17" fillId="10" borderId="0" xfId="0" applyFont="1" applyFill="1" applyAlignment="1">
      <alignment horizontal="center" vertical="center" wrapText="1" readingOrder="1"/>
    </xf>
    <xf numFmtId="0" fontId="17" fillId="10" borderId="0" xfId="0" applyFont="1" applyFill="1" applyAlignment="1">
      <alignment horizontal="center" vertical="center" textRotation="90" wrapText="1" readingOrder="1"/>
    </xf>
    <xf numFmtId="0" fontId="17" fillId="10" borderId="6" xfId="0" applyFont="1" applyFill="1" applyBorder="1" applyAlignment="1">
      <alignment horizontal="center" vertical="center" textRotation="90" wrapText="1" readingOrder="1"/>
    </xf>
    <xf numFmtId="0" fontId="16" fillId="0" borderId="3"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9" xfId="0" applyFont="1" applyBorder="1" applyAlignment="1">
      <alignment horizontal="center" vertical="center" wrapText="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2" borderId="18"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1" borderId="18"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13" borderId="18"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8" fillId="5" borderId="18" xfId="0" applyFont="1" applyFill="1" applyBorder="1" applyAlignment="1">
      <alignment horizontal="center" vertical="center" wrapText="1" readingOrder="1"/>
    </xf>
    <xf numFmtId="0" fontId="19" fillId="0" borderId="0" xfId="0" applyFont="1" applyAlignment="1">
      <alignment horizontal="center" vertical="center"/>
    </xf>
    <xf numFmtId="0" fontId="37" fillId="0" borderId="0" xfId="0" applyFont="1" applyAlignment="1">
      <alignment horizontal="center" vertical="center"/>
    </xf>
    <xf numFmtId="0" fontId="34" fillId="14" borderId="21" xfId="0" applyFont="1" applyFill="1" applyBorder="1" applyAlignment="1">
      <alignment horizontal="center" vertical="center" wrapText="1" readingOrder="1"/>
    </xf>
    <xf numFmtId="0" fontId="34" fillId="14" borderId="22" xfId="0" applyFont="1" applyFill="1" applyBorder="1" applyAlignment="1">
      <alignment horizontal="center" vertical="center" wrapText="1" readingOrder="1"/>
    </xf>
    <xf numFmtId="0" fontId="34" fillId="14" borderId="33" xfId="0" applyFont="1" applyFill="1" applyBorder="1" applyAlignment="1">
      <alignment horizontal="center" vertical="center" wrapText="1" readingOrder="1"/>
    </xf>
    <xf numFmtId="0" fontId="29" fillId="3" borderId="0" xfId="0" applyFont="1" applyFill="1" applyAlignment="1">
      <alignment horizontal="justify" vertical="center" wrapText="1"/>
    </xf>
    <xf numFmtId="0" fontId="31" fillId="14" borderId="30" xfId="0" applyFont="1" applyFill="1" applyBorder="1" applyAlignment="1">
      <alignment horizontal="center" vertical="center" wrapText="1" readingOrder="1"/>
    </xf>
    <xf numFmtId="0" fontId="31" fillId="14" borderId="31" xfId="0" applyFont="1" applyFill="1" applyBorder="1" applyAlignment="1">
      <alignment horizontal="center" vertical="center" wrapText="1" readingOrder="1"/>
    </xf>
    <xf numFmtId="0" fontId="31" fillId="3" borderId="28" xfId="0"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1" fillId="3" borderId="20" xfId="0" applyFont="1" applyFill="1" applyBorder="1" applyAlignment="1">
      <alignment horizontal="center" vertical="center" wrapText="1" readingOrder="1"/>
    </xf>
    <xf numFmtId="0" fontId="31" fillId="3" borderId="19" xfId="0" applyFont="1" applyFill="1" applyBorder="1" applyAlignment="1">
      <alignment horizontal="center" vertical="center" wrapText="1" readingOrder="1"/>
    </xf>
    <xf numFmtId="0" fontId="31" fillId="3" borderId="25" xfId="0" applyFont="1" applyFill="1" applyBorder="1" applyAlignment="1">
      <alignment horizontal="center" vertical="center" wrapText="1" readingOrder="1"/>
    </xf>
    <xf numFmtId="0" fontId="31" fillId="3" borderId="26" xfId="0" applyFont="1" applyFill="1" applyBorder="1" applyAlignment="1">
      <alignment horizontal="center" vertical="center" wrapText="1" readingOrder="1"/>
    </xf>
  </cellXfs>
  <cellStyles count="8">
    <cellStyle name="Hipervínculo" xfId="7" builtinId="8"/>
    <cellStyle name="Normal" xfId="0" builtinId="0"/>
    <cellStyle name="Normal - Style1 2" xfId="2" xr:uid="{00000000-0005-0000-0000-000001000000}"/>
    <cellStyle name="Normal 2" xfId="4" xr:uid="{00000000-0005-0000-0000-000002000000}"/>
    <cellStyle name="Normal 2 2" xfId="3" xr:uid="{00000000-0005-0000-0000-000003000000}"/>
    <cellStyle name="Normal 2 2 2" xfId="6" xr:uid="{44F614BD-76B7-40AA-ABBF-0FCB5885AAE9}"/>
    <cellStyle name="Normal 3" xfId="5" xr:uid="{C4009950-30A2-49F1-86C7-122EC09E12D8}"/>
    <cellStyle name="Porcentaje" xfId="1" builtinId="5"/>
  </cellStyles>
  <dxfs count="19">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99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0</xdr:row>
      <xdr:rowOff>11907</xdr:rowOff>
    </xdr:from>
    <xdr:to>
      <xdr:col>1</xdr:col>
      <xdr:colOff>2691111</xdr:colOff>
      <xdr:row>2</xdr:row>
      <xdr:rowOff>427972</xdr:rowOff>
    </xdr:to>
    <xdr:pic>
      <xdr:nvPicPr>
        <xdr:cNvPr id="4" name="Imagen 3">
          <a:extLst>
            <a:ext uri="{FF2B5EF4-FFF2-40B4-BE49-F238E27FC236}">
              <a16:creationId xmlns:a16="http://schemas.microsoft.com/office/drawing/2014/main" id="{B538BEC8-5F95-4662-BB9A-74AA0356D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9563" y="11907"/>
          <a:ext cx="2645073" cy="13685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Matriz%20de%20riesgos%20de%20corrupcion%203-03-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uctivo "/>
      <sheetName val="CONTEXTO"/>
      <sheetName val="Mapa de Riesgos"/>
      <sheetName val="Tabla impacto lista"/>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18" dataDxfId="17">
  <autoFilter ref="B209:C219" xr:uid="{00000000-0009-0000-0100-000001000000}"/>
  <tableColumns count="2">
    <tableColumn id="1" xr3:uid="{00000000-0010-0000-0000-000001000000}" name="Criterios" dataDxfId="16"/>
    <tableColumn id="2" xr3:uid="{00000000-0010-0000-0000-000002000000}" name="Subcriterios" dataDxfId="1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BE4B5-CA98-4295-A94C-85BE2188C2DF}">
  <dimension ref="A1:H53"/>
  <sheetViews>
    <sheetView topLeftCell="B25" zoomScale="120" zoomScaleNormal="120" workbookViewId="0">
      <selection activeCell="E29" sqref="E29:F29"/>
    </sheetView>
  </sheetViews>
  <sheetFormatPr baseColWidth="10" defaultColWidth="11.42578125" defaultRowHeight="15" x14ac:dyDescent="0.25"/>
  <cols>
    <col min="1" max="1" width="2.7109375" style="38" customWidth="1" collapsed="1"/>
    <col min="2" max="3" width="24.7109375" style="38" customWidth="1" collapsed="1"/>
    <col min="4" max="4" width="16" style="38" customWidth="1" collapsed="1"/>
    <col min="5" max="5" width="24.7109375" style="38" customWidth="1" collapsed="1"/>
    <col min="6" max="6" width="30" style="38" customWidth="1" collapsed="1"/>
    <col min="7" max="8" width="24.7109375" style="38" customWidth="1" collapsed="1"/>
    <col min="9" max="16384" width="11.42578125" style="38" collapsed="1"/>
  </cols>
  <sheetData>
    <row r="1" spans="1:8" ht="15.75" thickBot="1" x14ac:dyDescent="0.3"/>
    <row r="2" spans="1:8" ht="18" x14ac:dyDescent="0.25">
      <c r="B2" s="213" t="s">
        <v>0</v>
      </c>
      <c r="C2" s="214"/>
      <c r="D2" s="214"/>
      <c r="E2" s="214"/>
      <c r="F2" s="214"/>
      <c r="G2" s="214"/>
      <c r="H2" s="215"/>
    </row>
    <row r="3" spans="1:8" x14ac:dyDescent="0.25">
      <c r="B3" s="60"/>
      <c r="C3" s="61"/>
      <c r="D3" s="61"/>
      <c r="E3" s="61"/>
      <c r="F3" s="61"/>
      <c r="G3" s="61"/>
      <c r="H3" s="62"/>
    </row>
    <row r="4" spans="1:8" ht="63" customHeight="1" x14ac:dyDescent="0.25">
      <c r="B4" s="216" t="s">
        <v>337</v>
      </c>
      <c r="C4" s="217"/>
      <c r="D4" s="217"/>
      <c r="E4" s="217"/>
      <c r="F4" s="217"/>
      <c r="G4" s="217"/>
      <c r="H4" s="218"/>
    </row>
    <row r="5" spans="1:8" ht="63" customHeight="1" x14ac:dyDescent="0.25">
      <c r="B5" s="219"/>
      <c r="C5" s="220"/>
      <c r="D5" s="220"/>
      <c r="E5" s="220"/>
      <c r="F5" s="220"/>
      <c r="G5" s="220"/>
      <c r="H5" s="221"/>
    </row>
    <row r="6" spans="1:8" ht="16.5" x14ac:dyDescent="0.25">
      <c r="A6" s="63"/>
      <c r="B6" s="222" t="s">
        <v>1</v>
      </c>
      <c r="C6" s="223"/>
      <c r="D6" s="223"/>
      <c r="E6" s="223"/>
      <c r="F6" s="223"/>
      <c r="G6" s="223"/>
      <c r="H6" s="224"/>
    </row>
    <row r="7" spans="1:8" ht="95.25" customHeight="1" x14ac:dyDescent="0.25">
      <c r="A7" s="63"/>
      <c r="B7" s="225" t="s">
        <v>2</v>
      </c>
      <c r="C7" s="225"/>
      <c r="D7" s="225"/>
      <c r="E7" s="225"/>
      <c r="F7" s="225"/>
      <c r="G7" s="225"/>
      <c r="H7" s="226"/>
    </row>
    <row r="8" spans="1:8" ht="16.5" x14ac:dyDescent="0.25">
      <c r="A8" s="63"/>
      <c r="B8" s="64"/>
      <c r="C8" s="65"/>
      <c r="D8" s="65"/>
      <c r="E8" s="65"/>
      <c r="F8" s="65"/>
      <c r="G8" s="65"/>
      <c r="H8" s="66"/>
    </row>
    <row r="9" spans="1:8" ht="16.5" customHeight="1" x14ac:dyDescent="0.25">
      <c r="A9" s="63"/>
      <c r="B9" s="227" t="s">
        <v>340</v>
      </c>
      <c r="C9" s="227"/>
      <c r="D9" s="227"/>
      <c r="E9" s="227"/>
      <c r="F9" s="227"/>
      <c r="G9" s="227"/>
      <c r="H9" s="228"/>
    </row>
    <row r="10" spans="1:8" ht="16.5" customHeight="1" x14ac:dyDescent="0.25">
      <c r="A10" s="63"/>
      <c r="B10" s="227"/>
      <c r="C10" s="227"/>
      <c r="D10" s="227"/>
      <c r="E10" s="227"/>
      <c r="F10" s="227"/>
      <c r="G10" s="227"/>
      <c r="H10" s="228"/>
    </row>
    <row r="11" spans="1:8" ht="11.65" customHeight="1" x14ac:dyDescent="0.25">
      <c r="A11" s="63"/>
      <c r="B11" s="227"/>
      <c r="C11" s="227"/>
      <c r="D11" s="227"/>
      <c r="E11" s="227"/>
      <c r="F11" s="227"/>
      <c r="G11" s="227"/>
      <c r="H11" s="228"/>
    </row>
    <row r="12" spans="1:8" ht="11.65" customHeight="1" thickBot="1" x14ac:dyDescent="0.3">
      <c r="A12" s="63"/>
      <c r="B12" s="67"/>
      <c r="C12" s="67"/>
      <c r="D12" s="67"/>
      <c r="E12" s="67"/>
      <c r="F12" s="67"/>
      <c r="G12" s="67"/>
      <c r="H12" s="68"/>
    </row>
    <row r="13" spans="1:8" ht="15.4" customHeight="1" thickTop="1" x14ac:dyDescent="0.25">
      <c r="A13" s="63"/>
      <c r="B13" s="67"/>
      <c r="C13" s="211" t="s">
        <v>3</v>
      </c>
      <c r="D13" s="203"/>
      <c r="E13" s="212" t="s">
        <v>4</v>
      </c>
      <c r="F13" s="206"/>
      <c r="G13" s="67"/>
      <c r="H13" s="68"/>
    </row>
    <row r="14" spans="1:8" ht="15.4" customHeight="1" x14ac:dyDescent="0.25">
      <c r="A14" s="63"/>
      <c r="B14" s="67"/>
      <c r="C14" s="193" t="s">
        <v>341</v>
      </c>
      <c r="D14" s="194"/>
      <c r="E14" s="195" t="s">
        <v>342</v>
      </c>
      <c r="F14" s="190"/>
      <c r="G14" s="67"/>
      <c r="H14" s="68"/>
    </row>
    <row r="15" spans="1:8" ht="11.65" customHeight="1" x14ac:dyDescent="0.25">
      <c r="A15" s="63"/>
      <c r="B15" s="67"/>
      <c r="C15" s="193" t="s">
        <v>5</v>
      </c>
      <c r="D15" s="194"/>
      <c r="E15" s="195" t="s">
        <v>6</v>
      </c>
      <c r="F15" s="190"/>
      <c r="G15" s="67"/>
      <c r="H15" s="68"/>
    </row>
    <row r="16" spans="1:8" ht="11.65" customHeight="1" thickBot="1" x14ac:dyDescent="0.3">
      <c r="A16" s="63"/>
      <c r="B16" s="67"/>
      <c r="C16" s="196" t="s">
        <v>343</v>
      </c>
      <c r="D16" s="197"/>
      <c r="E16" s="198" t="s">
        <v>344</v>
      </c>
      <c r="F16" s="199"/>
      <c r="G16" s="67"/>
      <c r="H16" s="68"/>
    </row>
    <row r="17" spans="1:8" ht="11.65" customHeight="1" thickTop="1" x14ac:dyDescent="0.25">
      <c r="A17" s="63"/>
      <c r="B17" s="67"/>
      <c r="C17" s="69"/>
      <c r="D17" s="69"/>
      <c r="E17" s="69"/>
      <c r="F17" s="69"/>
      <c r="G17" s="67"/>
      <c r="H17" s="68"/>
    </row>
    <row r="18" spans="1:8" ht="27.4" customHeight="1" thickBot="1" x14ac:dyDescent="0.3">
      <c r="A18" s="63"/>
      <c r="B18" s="200" t="s">
        <v>345</v>
      </c>
      <c r="C18" s="201"/>
      <c r="D18" s="201"/>
      <c r="E18" s="201"/>
      <c r="F18" s="201"/>
      <c r="G18" s="201"/>
      <c r="H18" s="202"/>
    </row>
    <row r="19" spans="1:8" ht="15.75" thickTop="1" x14ac:dyDescent="0.25">
      <c r="A19" s="63"/>
      <c r="B19" s="70"/>
      <c r="C19" s="203" t="s">
        <v>3</v>
      </c>
      <c r="D19" s="204"/>
      <c r="E19" s="205" t="s">
        <v>4</v>
      </c>
      <c r="F19" s="206"/>
      <c r="G19" s="69"/>
      <c r="H19" s="71"/>
    </row>
    <row r="20" spans="1:8" ht="13.5" customHeight="1" x14ac:dyDescent="0.25">
      <c r="A20" s="63"/>
      <c r="B20" s="72"/>
      <c r="C20" s="207" t="s">
        <v>5</v>
      </c>
      <c r="D20" s="208"/>
      <c r="E20" s="209" t="s">
        <v>6</v>
      </c>
      <c r="F20" s="210"/>
      <c r="G20" s="73"/>
      <c r="H20" s="74"/>
    </row>
    <row r="21" spans="1:8" ht="13.5" customHeight="1" x14ac:dyDescent="0.25">
      <c r="A21" s="63"/>
      <c r="B21" s="72"/>
      <c r="C21" s="187" t="s">
        <v>10</v>
      </c>
      <c r="D21" s="188"/>
      <c r="E21" s="189" t="s">
        <v>9</v>
      </c>
      <c r="F21" s="190"/>
      <c r="G21" s="73"/>
      <c r="H21" s="74"/>
    </row>
    <row r="22" spans="1:8" ht="13.5" customHeight="1" x14ac:dyDescent="0.25">
      <c r="A22" s="63"/>
      <c r="B22" s="72"/>
      <c r="C22" s="187" t="s">
        <v>7</v>
      </c>
      <c r="D22" s="188"/>
      <c r="E22" s="189" t="s">
        <v>8</v>
      </c>
      <c r="F22" s="190"/>
      <c r="G22" s="73"/>
      <c r="H22" s="74"/>
    </row>
    <row r="23" spans="1:8" ht="65.25" customHeight="1" x14ac:dyDescent="0.25">
      <c r="A23" s="63"/>
      <c r="B23" s="72"/>
      <c r="C23" s="187" t="s">
        <v>11</v>
      </c>
      <c r="D23" s="188"/>
      <c r="E23" s="191" t="s">
        <v>346</v>
      </c>
      <c r="F23" s="192"/>
      <c r="G23" s="73"/>
      <c r="H23" s="74"/>
    </row>
    <row r="24" spans="1:8" ht="69.75" customHeight="1" x14ac:dyDescent="0.25">
      <c r="A24" s="63"/>
      <c r="B24" s="72"/>
      <c r="C24" s="178" t="s">
        <v>12</v>
      </c>
      <c r="D24" s="186"/>
      <c r="E24" s="179" t="s">
        <v>13</v>
      </c>
      <c r="F24" s="180"/>
      <c r="G24" s="73"/>
      <c r="H24" s="75"/>
    </row>
    <row r="25" spans="1:8" ht="66.75" customHeight="1" x14ac:dyDescent="0.25">
      <c r="B25" s="76"/>
      <c r="C25" s="185" t="s">
        <v>347</v>
      </c>
      <c r="D25" s="186"/>
      <c r="E25" s="179" t="s">
        <v>348</v>
      </c>
      <c r="F25" s="180"/>
      <c r="G25" s="73"/>
      <c r="H25" s="75"/>
    </row>
    <row r="26" spans="1:8" ht="37.5" customHeight="1" x14ac:dyDescent="0.25">
      <c r="B26" s="76"/>
      <c r="C26" s="185" t="s">
        <v>14</v>
      </c>
      <c r="D26" s="186"/>
      <c r="E26" s="179" t="s">
        <v>15</v>
      </c>
      <c r="F26" s="180"/>
      <c r="G26" s="73"/>
      <c r="H26" s="75"/>
    </row>
    <row r="27" spans="1:8" ht="66.75" customHeight="1" x14ac:dyDescent="0.25">
      <c r="B27" s="76"/>
      <c r="C27" s="185" t="s">
        <v>16</v>
      </c>
      <c r="D27" s="186"/>
      <c r="E27" s="179" t="s">
        <v>17</v>
      </c>
      <c r="F27" s="180"/>
      <c r="G27" s="73"/>
      <c r="H27" s="75"/>
    </row>
    <row r="28" spans="1:8" ht="72.75" customHeight="1" x14ac:dyDescent="0.25">
      <c r="B28" s="76"/>
      <c r="C28" s="185" t="s">
        <v>18</v>
      </c>
      <c r="D28" s="186"/>
      <c r="E28" s="179" t="s">
        <v>19</v>
      </c>
      <c r="F28" s="180"/>
      <c r="G28" s="73"/>
      <c r="H28" s="75"/>
    </row>
    <row r="29" spans="1:8" ht="64.5" customHeight="1" x14ac:dyDescent="0.25">
      <c r="B29" s="76"/>
      <c r="C29" s="185" t="s">
        <v>20</v>
      </c>
      <c r="D29" s="186"/>
      <c r="E29" s="179" t="s">
        <v>21</v>
      </c>
      <c r="F29" s="180"/>
      <c r="G29" s="73"/>
      <c r="H29" s="75"/>
    </row>
    <row r="30" spans="1:8" ht="71.25" customHeight="1" x14ac:dyDescent="0.25">
      <c r="B30" s="76"/>
      <c r="C30" s="177" t="s">
        <v>22</v>
      </c>
      <c r="D30" s="178"/>
      <c r="E30" s="179" t="s">
        <v>23</v>
      </c>
      <c r="F30" s="180"/>
      <c r="G30" s="73"/>
      <c r="H30" s="75"/>
    </row>
    <row r="31" spans="1:8" ht="55.5" customHeight="1" x14ac:dyDescent="0.25">
      <c r="B31" s="76"/>
      <c r="C31" s="177" t="s">
        <v>24</v>
      </c>
      <c r="D31" s="178"/>
      <c r="E31" s="179" t="s">
        <v>25</v>
      </c>
      <c r="F31" s="180"/>
      <c r="G31" s="73"/>
      <c r="H31" s="75"/>
    </row>
    <row r="32" spans="1:8" ht="42" customHeight="1" x14ac:dyDescent="0.25">
      <c r="B32" s="76"/>
      <c r="C32" s="177" t="s">
        <v>26</v>
      </c>
      <c r="D32" s="178"/>
      <c r="E32" s="179" t="s">
        <v>27</v>
      </c>
      <c r="F32" s="180"/>
      <c r="G32" s="73"/>
      <c r="H32" s="75"/>
    </row>
    <row r="33" spans="2:8" ht="59.25" customHeight="1" x14ac:dyDescent="0.25">
      <c r="B33" s="76"/>
      <c r="C33" s="177" t="s">
        <v>28</v>
      </c>
      <c r="D33" s="178"/>
      <c r="E33" s="179" t="s">
        <v>29</v>
      </c>
      <c r="F33" s="180"/>
      <c r="G33" s="73"/>
      <c r="H33" s="75"/>
    </row>
    <row r="34" spans="2:8" ht="23.25" customHeight="1" x14ac:dyDescent="0.25">
      <c r="B34" s="76"/>
      <c r="C34" s="177" t="s">
        <v>30</v>
      </c>
      <c r="D34" s="178"/>
      <c r="E34" s="179" t="s">
        <v>31</v>
      </c>
      <c r="F34" s="180"/>
      <c r="G34" s="73"/>
      <c r="H34" s="75"/>
    </row>
    <row r="35" spans="2:8" ht="30.75" customHeight="1" x14ac:dyDescent="0.25">
      <c r="B35" s="76"/>
      <c r="C35" s="177" t="s">
        <v>32</v>
      </c>
      <c r="D35" s="178"/>
      <c r="E35" s="179" t="s">
        <v>33</v>
      </c>
      <c r="F35" s="180"/>
      <c r="G35" s="73"/>
      <c r="H35" s="75"/>
    </row>
    <row r="36" spans="2:8" ht="35.25" customHeight="1" x14ac:dyDescent="0.25">
      <c r="B36" s="76"/>
      <c r="C36" s="177" t="s">
        <v>32</v>
      </c>
      <c r="D36" s="178"/>
      <c r="E36" s="179" t="s">
        <v>33</v>
      </c>
      <c r="F36" s="180"/>
      <c r="G36" s="73"/>
      <c r="H36" s="75"/>
    </row>
    <row r="37" spans="2:8" ht="33" customHeight="1" x14ac:dyDescent="0.25">
      <c r="B37" s="76"/>
      <c r="C37" s="177" t="s">
        <v>34</v>
      </c>
      <c r="D37" s="178"/>
      <c r="E37" s="179" t="s">
        <v>35</v>
      </c>
      <c r="F37" s="180"/>
      <c r="G37" s="73"/>
      <c r="H37" s="75"/>
    </row>
    <row r="38" spans="2:8" ht="30" customHeight="1" x14ac:dyDescent="0.25">
      <c r="B38" s="76"/>
      <c r="C38" s="177" t="s">
        <v>36</v>
      </c>
      <c r="D38" s="178"/>
      <c r="E38" s="179" t="s">
        <v>37</v>
      </c>
      <c r="F38" s="180"/>
      <c r="G38" s="73"/>
      <c r="H38" s="75"/>
    </row>
    <row r="39" spans="2:8" ht="35.25" customHeight="1" x14ac:dyDescent="0.25">
      <c r="B39" s="76"/>
      <c r="C39" s="177" t="s">
        <v>38</v>
      </c>
      <c r="D39" s="178"/>
      <c r="E39" s="179" t="s">
        <v>39</v>
      </c>
      <c r="F39" s="180"/>
      <c r="G39" s="73"/>
      <c r="H39" s="75"/>
    </row>
    <row r="40" spans="2:8" ht="31.5" customHeight="1" x14ac:dyDescent="0.25">
      <c r="B40" s="76"/>
      <c r="C40" s="177" t="s">
        <v>40</v>
      </c>
      <c r="D40" s="178"/>
      <c r="E40" s="179" t="s">
        <v>41</v>
      </c>
      <c r="F40" s="180"/>
      <c r="G40" s="73"/>
      <c r="H40" s="75"/>
    </row>
    <row r="41" spans="2:8" ht="54" customHeight="1" x14ac:dyDescent="0.25">
      <c r="B41" s="76"/>
      <c r="C41" s="177" t="s">
        <v>42</v>
      </c>
      <c r="D41" s="178"/>
      <c r="E41" s="179" t="s">
        <v>43</v>
      </c>
      <c r="F41" s="180"/>
      <c r="G41" s="73"/>
      <c r="H41" s="75"/>
    </row>
    <row r="42" spans="2:8" ht="59.25" customHeight="1" x14ac:dyDescent="0.25">
      <c r="B42" s="76"/>
      <c r="C42" s="177" t="s">
        <v>44</v>
      </c>
      <c r="D42" s="178"/>
      <c r="E42" s="179" t="s">
        <v>45</v>
      </c>
      <c r="F42" s="180"/>
      <c r="G42" s="73"/>
      <c r="H42" s="75"/>
    </row>
    <row r="43" spans="2:8" ht="84" customHeight="1" x14ac:dyDescent="0.25">
      <c r="B43" s="76"/>
      <c r="C43" s="177" t="s">
        <v>46</v>
      </c>
      <c r="D43" s="178"/>
      <c r="E43" s="179" t="s">
        <v>47</v>
      </c>
      <c r="F43" s="180"/>
      <c r="G43" s="73"/>
      <c r="H43" s="75"/>
    </row>
    <row r="44" spans="2:8" ht="82.5" customHeight="1" x14ac:dyDescent="0.25">
      <c r="B44" s="76"/>
      <c r="C44" s="177" t="s">
        <v>48</v>
      </c>
      <c r="D44" s="178"/>
      <c r="E44" s="179" t="s">
        <v>49</v>
      </c>
      <c r="F44" s="180"/>
      <c r="G44" s="73"/>
      <c r="H44" s="75"/>
    </row>
    <row r="45" spans="2:8" ht="46.5" customHeight="1" thickBot="1" x14ac:dyDescent="0.3">
      <c r="B45" s="76"/>
      <c r="C45" s="181"/>
      <c r="D45" s="182"/>
      <c r="E45" s="183"/>
      <c r="F45" s="184"/>
      <c r="G45" s="73"/>
      <c r="H45" s="75"/>
    </row>
    <row r="46" spans="2:8" ht="6.75" customHeight="1" thickTop="1" x14ac:dyDescent="0.25">
      <c r="B46" s="76"/>
      <c r="C46" s="77"/>
      <c r="D46" s="77"/>
      <c r="E46" s="78"/>
      <c r="F46" s="78"/>
      <c r="G46" s="73"/>
      <c r="H46" s="75"/>
    </row>
    <row r="47" spans="2:8" x14ac:dyDescent="0.25">
      <c r="B47" s="76"/>
      <c r="C47" s="79"/>
      <c r="D47" s="79"/>
      <c r="E47" s="79"/>
      <c r="F47" s="79"/>
      <c r="G47" s="73"/>
      <c r="H47" s="75"/>
    </row>
    <row r="48" spans="2:8" ht="34.5" customHeight="1" x14ac:dyDescent="0.25">
      <c r="B48" s="80" t="s">
        <v>50</v>
      </c>
      <c r="C48" s="79"/>
      <c r="D48" s="79"/>
      <c r="E48" s="79"/>
      <c r="F48" s="79"/>
      <c r="G48" s="79"/>
      <c r="H48" s="81"/>
    </row>
    <row r="49" spans="2:8" ht="20.25" customHeight="1" x14ac:dyDescent="0.25">
      <c r="B49" s="80" t="s">
        <v>51</v>
      </c>
      <c r="C49" s="79"/>
      <c r="D49" s="79"/>
      <c r="E49" s="79"/>
      <c r="F49" s="79"/>
      <c r="G49" s="79"/>
      <c r="H49" s="81"/>
    </row>
    <row r="50" spans="2:8" ht="20.25" customHeight="1" x14ac:dyDescent="0.25">
      <c r="B50" s="80" t="s">
        <v>52</v>
      </c>
      <c r="C50" s="79"/>
      <c r="D50" s="79"/>
      <c r="E50" s="79"/>
      <c r="F50" s="79"/>
      <c r="G50" s="79"/>
      <c r="H50" s="81"/>
    </row>
    <row r="51" spans="2:8" ht="20.25" customHeight="1" x14ac:dyDescent="0.25">
      <c r="B51" s="80" t="s">
        <v>53</v>
      </c>
      <c r="C51" s="79"/>
      <c r="D51" s="79"/>
      <c r="E51" s="79"/>
      <c r="F51" s="79"/>
      <c r="G51" s="79"/>
      <c r="H51" s="81"/>
    </row>
    <row r="52" spans="2:8" ht="14.65" customHeight="1" x14ac:dyDescent="0.25">
      <c r="B52" s="80" t="s">
        <v>54</v>
      </c>
      <c r="C52" s="79"/>
      <c r="D52" s="79"/>
      <c r="E52" s="79"/>
      <c r="F52" s="79"/>
      <c r="G52" s="79"/>
      <c r="H52" s="81"/>
    </row>
    <row r="53" spans="2:8" ht="15.75" thickBot="1" x14ac:dyDescent="0.3">
      <c r="B53" s="82"/>
      <c r="C53" s="83"/>
      <c r="D53" s="83"/>
      <c r="E53" s="83"/>
      <c r="F53" s="83"/>
      <c r="G53" s="83"/>
      <c r="H53" s="84"/>
    </row>
  </sheetData>
  <mergeCells count="68">
    <mergeCell ref="C13:D13"/>
    <mergeCell ref="E13:F13"/>
    <mergeCell ref="B2:H2"/>
    <mergeCell ref="B4:H5"/>
    <mergeCell ref="B6:H6"/>
    <mergeCell ref="B7:H7"/>
    <mergeCell ref="B9:H11"/>
    <mergeCell ref="C21:D21"/>
    <mergeCell ref="E21:F21"/>
    <mergeCell ref="C14:D14"/>
    <mergeCell ref="E14:F14"/>
    <mergeCell ref="C15:D15"/>
    <mergeCell ref="E15:F15"/>
    <mergeCell ref="C16:D16"/>
    <mergeCell ref="E16:F16"/>
    <mergeCell ref="B18:H18"/>
    <mergeCell ref="C19:D19"/>
    <mergeCell ref="E19:F19"/>
    <mergeCell ref="C20:D20"/>
    <mergeCell ref="E20:F20"/>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K99"/>
  <sheetViews>
    <sheetView tabSelected="1" topLeftCell="P4" zoomScale="75" zoomScaleNormal="75" workbookViewId="0">
      <selection activeCell="AF8" sqref="AF8"/>
    </sheetView>
  </sheetViews>
  <sheetFormatPr baseColWidth="10" defaultColWidth="11.42578125" defaultRowHeight="16.5" x14ac:dyDescent="0.3"/>
  <cols>
    <col min="1" max="1" width="7.7109375" style="2" customWidth="1"/>
    <col min="2" max="2" width="46.85546875" style="2" customWidth="1"/>
    <col min="3" max="3" width="14.140625" style="2" customWidth="1"/>
    <col min="4" max="4" width="48.5703125" style="2" customWidth="1"/>
    <col min="5" max="5" width="46.85546875" style="1" customWidth="1"/>
    <col min="6" max="6" width="19" style="4" hidden="1" customWidth="1"/>
    <col min="7" max="7" width="17.85546875" style="1" hidden="1" customWidth="1"/>
    <col min="8" max="8" width="16.5703125" style="1" hidden="1" customWidth="1"/>
    <col min="9" max="9" width="6.28515625" style="1" hidden="1" customWidth="1"/>
    <col min="10" max="10" width="27.28515625" style="1" hidden="1" customWidth="1"/>
    <col min="11" max="11" width="26.7109375" style="1" hidden="1" customWidth="1"/>
    <col min="12" max="12" width="17.5703125" style="1" hidden="1" customWidth="1"/>
    <col min="13" max="13" width="6.28515625" style="1" hidden="1" customWidth="1"/>
    <col min="14" max="14" width="16" style="1" hidden="1" customWidth="1"/>
    <col min="15" max="15" width="5.85546875" style="1" hidden="1" customWidth="1"/>
    <col min="16" max="16" width="80.85546875" style="85" customWidth="1"/>
    <col min="17" max="17" width="15.140625" style="1" customWidth="1"/>
    <col min="18" max="18" width="6.85546875" style="1" customWidth="1"/>
    <col min="19" max="19" width="5" style="1" customWidth="1"/>
    <col min="20" max="20" width="5.5703125" style="1" customWidth="1"/>
    <col min="21" max="21" width="7.140625" style="1" customWidth="1"/>
    <col min="22" max="22" width="6.7109375" style="1" customWidth="1"/>
    <col min="23" max="23" width="7.5703125" style="1" customWidth="1"/>
    <col min="24" max="24" width="9.28515625" style="1" customWidth="1"/>
    <col min="25" max="25" width="8.7109375" style="1" customWidth="1"/>
    <col min="26" max="26" width="10.42578125" style="1" customWidth="1"/>
    <col min="27" max="27" width="11" style="1" customWidth="1"/>
    <col min="28" max="28" width="9.140625" style="1" customWidth="1"/>
    <col min="29" max="29" width="8.42578125" style="1" customWidth="1"/>
    <col min="30" max="30" width="7.28515625" style="1" customWidth="1"/>
    <col min="31" max="31" width="48.140625" style="1" customWidth="1"/>
    <col min="32" max="32" width="25.28515625" style="1" customWidth="1"/>
    <col min="33" max="33" width="24.85546875" style="1" customWidth="1"/>
    <col min="34" max="34" width="16.140625" style="1" customWidth="1"/>
    <col min="35" max="35" width="20.28515625" style="1" customWidth="1"/>
    <col min="36" max="36" width="17.140625" style="1" customWidth="1"/>
    <col min="37" max="37" width="31.7109375" style="1" customWidth="1"/>
    <col min="38" max="38" width="7.28515625" style="1" customWidth="1"/>
    <col min="39" max="39" width="58.140625" style="1" customWidth="1"/>
    <col min="40" max="40" width="38.140625" style="1" customWidth="1"/>
    <col min="41" max="41" width="74.85546875" style="1" customWidth="1"/>
    <col min="42" max="42" width="38.7109375" style="1" customWidth="1"/>
    <col min="43" max="43" width="44.28515625" style="1" customWidth="1"/>
    <col min="44" max="44" width="32" style="1" customWidth="1"/>
    <col min="45" max="16384" width="11.42578125" style="1"/>
  </cols>
  <sheetData>
    <row r="1" spans="1:63" ht="44.25" customHeight="1" x14ac:dyDescent="0.3">
      <c r="A1" s="276"/>
      <c r="B1" s="276"/>
      <c r="C1" s="276"/>
      <c r="D1" s="286" t="s">
        <v>457</v>
      </c>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8"/>
      <c r="AQ1" s="277" t="s">
        <v>349</v>
      </c>
      <c r="AR1" s="277"/>
    </row>
    <row r="2" spans="1:63" ht="30.75" customHeight="1" x14ac:dyDescent="0.3">
      <c r="A2" s="276"/>
      <c r="B2" s="276"/>
      <c r="C2" s="276"/>
      <c r="D2" s="286"/>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287"/>
      <c r="AP2" s="288"/>
      <c r="AQ2" s="278" t="s">
        <v>350</v>
      </c>
      <c r="AR2" s="279"/>
    </row>
    <row r="3" spans="1:63" ht="40.5" customHeight="1" x14ac:dyDescent="0.3">
      <c r="A3" s="276"/>
      <c r="B3" s="276"/>
      <c r="C3" s="276"/>
      <c r="D3" s="286"/>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8"/>
      <c r="AQ3" s="278" t="s">
        <v>351</v>
      </c>
      <c r="AR3" s="278"/>
      <c r="AS3" s="5"/>
      <c r="AT3" s="5"/>
      <c r="AU3" s="5"/>
      <c r="AV3" s="5"/>
      <c r="AW3" s="5"/>
      <c r="AX3" s="5"/>
      <c r="AY3" s="5"/>
      <c r="AZ3" s="5"/>
      <c r="BA3" s="5"/>
      <c r="BB3" s="5"/>
      <c r="BC3" s="5"/>
      <c r="BD3" s="5"/>
      <c r="BE3" s="5"/>
      <c r="BF3" s="5"/>
      <c r="BG3" s="5"/>
      <c r="BH3" s="5"/>
      <c r="BI3" s="5"/>
      <c r="BJ3" s="5"/>
      <c r="BK3" s="5"/>
    </row>
    <row r="4" spans="1:63" x14ac:dyDescent="0.3">
      <c r="A4" s="258" t="s">
        <v>55</v>
      </c>
      <c r="B4" s="258"/>
      <c r="C4" s="258"/>
      <c r="D4" s="258"/>
      <c r="E4" s="258"/>
      <c r="F4" s="258"/>
      <c r="G4" s="258"/>
      <c r="H4" s="263" t="s">
        <v>56</v>
      </c>
      <c r="I4" s="264"/>
      <c r="J4" s="264"/>
      <c r="K4" s="264"/>
      <c r="L4" s="264"/>
      <c r="M4" s="264"/>
      <c r="N4" s="265"/>
      <c r="O4" s="258" t="s">
        <v>57</v>
      </c>
      <c r="P4" s="258"/>
      <c r="Q4" s="258"/>
      <c r="R4" s="258"/>
      <c r="S4" s="258"/>
      <c r="T4" s="258"/>
      <c r="U4" s="258"/>
      <c r="V4" s="258"/>
      <c r="W4" s="258"/>
      <c r="X4" s="258" t="s">
        <v>58</v>
      </c>
      <c r="Y4" s="258"/>
      <c r="Z4" s="258"/>
      <c r="AA4" s="258"/>
      <c r="AB4" s="258"/>
      <c r="AC4" s="258"/>
      <c r="AD4" s="258"/>
      <c r="AE4" s="258" t="s">
        <v>59</v>
      </c>
      <c r="AF4" s="258"/>
      <c r="AG4" s="258"/>
      <c r="AH4" s="258"/>
      <c r="AI4" s="258"/>
      <c r="AJ4" s="258"/>
      <c r="AK4" s="280" t="s">
        <v>422</v>
      </c>
      <c r="AL4" s="281"/>
      <c r="AM4" s="280" t="s">
        <v>423</v>
      </c>
      <c r="AN4" s="281"/>
      <c r="AO4" s="280" t="s">
        <v>424</v>
      </c>
      <c r="AP4" s="281"/>
      <c r="AQ4" s="282" t="s">
        <v>416</v>
      </c>
      <c r="AR4" s="283"/>
      <c r="AS4" s="5"/>
      <c r="AT4" s="5"/>
      <c r="AU4" s="5"/>
      <c r="AV4" s="5"/>
      <c r="AW4" s="5"/>
      <c r="AX4" s="5"/>
      <c r="AY4" s="5"/>
      <c r="AZ4" s="5"/>
      <c r="BA4" s="5"/>
      <c r="BB4" s="5"/>
      <c r="BC4" s="5"/>
      <c r="BD4" s="5"/>
      <c r="BE4" s="5"/>
      <c r="BF4" s="5"/>
      <c r="BG4" s="5"/>
      <c r="BH4" s="5"/>
      <c r="BI4" s="5"/>
      <c r="BJ4" s="5"/>
      <c r="BK4" s="5"/>
    </row>
    <row r="5" spans="1:63" ht="16.5" customHeight="1" x14ac:dyDescent="0.3">
      <c r="A5" s="255" t="s">
        <v>60</v>
      </c>
      <c r="B5" s="257" t="s">
        <v>5</v>
      </c>
      <c r="C5" s="257" t="s">
        <v>12</v>
      </c>
      <c r="D5" s="256" t="s">
        <v>14</v>
      </c>
      <c r="E5" s="257" t="s">
        <v>16</v>
      </c>
      <c r="F5" s="256" t="s">
        <v>18</v>
      </c>
      <c r="G5" s="256" t="s">
        <v>61</v>
      </c>
      <c r="H5" s="256" t="s">
        <v>62</v>
      </c>
      <c r="I5" s="257" t="s">
        <v>63</v>
      </c>
      <c r="J5" s="256" t="s">
        <v>64</v>
      </c>
      <c r="K5" s="256" t="s">
        <v>65</v>
      </c>
      <c r="L5" s="256" t="s">
        <v>66</v>
      </c>
      <c r="M5" s="257" t="s">
        <v>63</v>
      </c>
      <c r="N5" s="256" t="s">
        <v>24</v>
      </c>
      <c r="O5" s="262" t="s">
        <v>67</v>
      </c>
      <c r="P5" s="256" t="s">
        <v>26</v>
      </c>
      <c r="Q5" s="256" t="s">
        <v>28</v>
      </c>
      <c r="R5" s="256" t="s">
        <v>68</v>
      </c>
      <c r="S5" s="256"/>
      <c r="T5" s="256"/>
      <c r="U5" s="256"/>
      <c r="V5" s="256"/>
      <c r="W5" s="256"/>
      <c r="X5" s="262" t="s">
        <v>69</v>
      </c>
      <c r="Y5" s="262" t="s">
        <v>70</v>
      </c>
      <c r="Z5" s="262" t="s">
        <v>63</v>
      </c>
      <c r="AA5" s="262" t="s">
        <v>71</v>
      </c>
      <c r="AB5" s="262" t="s">
        <v>63</v>
      </c>
      <c r="AC5" s="262" t="s">
        <v>72</v>
      </c>
      <c r="AD5" s="262" t="s">
        <v>44</v>
      </c>
      <c r="AE5" s="256" t="s">
        <v>59</v>
      </c>
      <c r="AF5" s="256" t="s">
        <v>425</v>
      </c>
      <c r="AG5" s="256" t="s">
        <v>426</v>
      </c>
      <c r="AH5" s="256" t="s">
        <v>427</v>
      </c>
      <c r="AI5" s="256" t="s">
        <v>428</v>
      </c>
      <c r="AJ5" s="256" t="s">
        <v>48</v>
      </c>
      <c r="AK5" s="284" t="s">
        <v>429</v>
      </c>
      <c r="AL5" s="284" t="s">
        <v>430</v>
      </c>
      <c r="AM5" s="284" t="s">
        <v>429</v>
      </c>
      <c r="AN5" s="284" t="s">
        <v>430</v>
      </c>
      <c r="AO5" s="284" t="s">
        <v>429</v>
      </c>
      <c r="AP5" s="284" t="s">
        <v>430</v>
      </c>
      <c r="AQ5" s="284" t="s">
        <v>399</v>
      </c>
      <c r="AR5" s="284" t="s">
        <v>431</v>
      </c>
      <c r="AS5" s="5"/>
      <c r="AT5" s="5"/>
      <c r="AU5" s="5"/>
      <c r="AV5" s="5"/>
      <c r="AW5" s="5"/>
      <c r="AX5" s="5"/>
      <c r="AY5" s="5"/>
      <c r="AZ5" s="5"/>
      <c r="BA5" s="5"/>
      <c r="BB5" s="5"/>
      <c r="BC5" s="5"/>
      <c r="BD5" s="5"/>
      <c r="BE5" s="5"/>
      <c r="BF5" s="5"/>
      <c r="BG5" s="5"/>
      <c r="BH5" s="5"/>
      <c r="BI5" s="5"/>
      <c r="BJ5" s="5"/>
      <c r="BK5" s="5"/>
    </row>
    <row r="6" spans="1:63" s="3" customFormat="1" ht="94.5" customHeight="1" x14ac:dyDescent="0.25">
      <c r="A6" s="255"/>
      <c r="B6" s="257"/>
      <c r="C6" s="257"/>
      <c r="D6" s="256"/>
      <c r="E6" s="257"/>
      <c r="F6" s="256"/>
      <c r="G6" s="256"/>
      <c r="H6" s="256"/>
      <c r="I6" s="257"/>
      <c r="J6" s="256"/>
      <c r="K6" s="256"/>
      <c r="L6" s="257"/>
      <c r="M6" s="257"/>
      <c r="N6" s="256"/>
      <c r="O6" s="262"/>
      <c r="P6" s="256"/>
      <c r="Q6" s="256"/>
      <c r="R6" s="135" t="s">
        <v>73</v>
      </c>
      <c r="S6" s="135" t="s">
        <v>74</v>
      </c>
      <c r="T6" s="135" t="s">
        <v>75</v>
      </c>
      <c r="U6" s="135" t="s">
        <v>76</v>
      </c>
      <c r="V6" s="135" t="s">
        <v>77</v>
      </c>
      <c r="W6" s="135" t="s">
        <v>78</v>
      </c>
      <c r="X6" s="262"/>
      <c r="Y6" s="262"/>
      <c r="Z6" s="262"/>
      <c r="AA6" s="262"/>
      <c r="AB6" s="262"/>
      <c r="AC6" s="262"/>
      <c r="AD6" s="262"/>
      <c r="AE6" s="256"/>
      <c r="AF6" s="256"/>
      <c r="AG6" s="256"/>
      <c r="AH6" s="256"/>
      <c r="AI6" s="256"/>
      <c r="AJ6" s="256"/>
      <c r="AK6" s="285"/>
      <c r="AL6" s="285"/>
      <c r="AM6" s="285"/>
      <c r="AN6" s="285"/>
      <c r="AO6" s="285"/>
      <c r="AP6" s="285"/>
      <c r="AQ6" s="285"/>
      <c r="AR6" s="285"/>
      <c r="AS6" s="21"/>
      <c r="AT6" s="21"/>
      <c r="AU6" s="21"/>
      <c r="AV6" s="21"/>
      <c r="AW6" s="21"/>
      <c r="AX6" s="21"/>
      <c r="AY6" s="21"/>
      <c r="AZ6" s="21"/>
      <c r="BA6" s="21"/>
      <c r="BB6" s="21"/>
      <c r="BC6" s="21"/>
      <c r="BD6" s="21"/>
      <c r="BE6" s="21"/>
      <c r="BF6" s="21"/>
      <c r="BG6" s="21"/>
      <c r="BH6" s="21"/>
      <c r="BI6" s="21"/>
      <c r="BJ6" s="21"/>
      <c r="BK6" s="21"/>
    </row>
    <row r="7" spans="1:63" s="87" customFormat="1" ht="181.5" customHeight="1" x14ac:dyDescent="0.25">
      <c r="A7" s="261">
        <v>1</v>
      </c>
      <c r="B7" s="242" t="s">
        <v>198</v>
      </c>
      <c r="C7" s="243" t="s">
        <v>180</v>
      </c>
      <c r="D7" s="243" t="s">
        <v>406</v>
      </c>
      <c r="E7" s="244" t="s">
        <v>417</v>
      </c>
      <c r="F7" s="243" t="s">
        <v>370</v>
      </c>
      <c r="G7" s="260">
        <v>60</v>
      </c>
      <c r="H7" s="233" t="str">
        <f>IF(G7&lt;=0,"",IF(G7&lt;=2,"Muy Baja",IF(G7&lt;=24,"Baja",IF(G7&lt;=500,"Media",IF(G7&lt;=5000,"Alta","Muy Alta")))))</f>
        <v>Media</v>
      </c>
      <c r="I7" s="234">
        <f>IF(H7="","",IF(H7="Muy Baja",0.2,IF(H7="Baja",0.4,IF(H7="Media",0.6,IF(H7="Alta",0.8,IF(H7="Muy Alta",1,))))))</f>
        <v>0.6</v>
      </c>
      <c r="J7" s="236" t="s">
        <v>134</v>
      </c>
      <c r="K7" s="234" t="str">
        <f ca="1">IF(NOT(ISERROR(MATCH(J7,'Tabla Impacto'!$B$221:$B$223,0))),'Tabla Impacto'!$F$223&amp;"Por favor no seleccionar los criterios de impacto(Afectación Económica o presupuestal y Pérdida Reputacional)",J7)</f>
        <v xml:space="preserve">     El riesgo afecta la imagen de la entidad internamente, de conocimiento general, nivel interno, de junta dircetiva y accionistas y/o de provedores</v>
      </c>
      <c r="L7" s="233" t="str">
        <f ca="1">IF(OR(K7='Tabla Impacto'!$C$11,K7='Tabla Impacto'!$D$11),"Leve",IF(OR(K7='Tabla Impacto'!$C$12,K7='Tabla Impacto'!$D$12),"Menor",IF(OR(K7='Tabla Impacto'!$C$13,K7='Tabla Impacto'!$D$13),"Moderado",IF(OR(K7='Tabla Impacto'!$C$14,K7='Tabla Impacto'!$D$14),"Mayor",IF(OR(K7='Tabla Impacto'!$C$15,K7='Tabla Impacto'!$D$15),"Catastrófico","")))))</f>
        <v>Menor</v>
      </c>
      <c r="M7" s="234">
        <f ca="1">IF(L7="","",IF(L7="Leve",0.2,IF(L7="Menor",0.4,IF(L7="Moderado",0.6,IF(L7="Mayor",0.8,IF(L7="Catastrófico",1,))))))</f>
        <v>0.4</v>
      </c>
      <c r="N7" s="235" t="str">
        <f ca="1">IF(OR(AND(H7="Muy Baja",L7="Leve"),AND(H7="Muy Baja",L7="Menor"),AND(H7="Baja",L7="Leve")),"Bajo",IF(OR(AND(H7="Muy baja",L7="Moderado"),AND(H7="Baja",L7="Menor"),AND(H7="Baja",L7="Moderado"),AND(H7="Media",L7="Leve"),AND(H7="Media",L7="Menor"),AND(H7="Media",L7="Moderado"),AND(H7="Alta",L7="Leve"),AND(H7="Alta",L7="Menor")),"Moderado",IF(OR(AND(H7="Muy Baja",L7="Mayor"),AND(H7="Baja",L7="Mayor"),AND(H7="Media",L7="Mayor"),AND(H7="Alta",L7="Moderado"),AND(H7="Alta",L7="Mayor"),AND(H7="Muy Alta",L7="Leve"),AND(H7="Muy Alta",L7="Menor"),AND(H7="Muy Alta",L7="Moderado"),AND(H7="Muy Alta",L7="Mayor")),"Alto",IF(OR(AND(H7="Muy Baja",L7="Catastrófico"),AND(H7="Baja",L7="Catastrófico"),AND(H7="Media",L7="Catastrófico"),AND(H7="Alta",L7="Catastrófico"),AND(H7="Muy Alta",L7="Catastrófico")),"Extremo",""))))</f>
        <v>Moderado</v>
      </c>
      <c r="O7" s="138">
        <v>1</v>
      </c>
      <c r="P7" s="97" t="s">
        <v>407</v>
      </c>
      <c r="Q7" s="148" t="str">
        <f t="shared" ref="Q7" si="0">IF(OR(R7="Preventivo",R7="Detectivo"),"Probabilidad",IF(R7="Correctivo","Impacto",""))</f>
        <v>Probabilidad</v>
      </c>
      <c r="R7" s="144" t="s">
        <v>152</v>
      </c>
      <c r="S7" s="144" t="s">
        <v>160</v>
      </c>
      <c r="T7" s="145" t="str">
        <f>IF(AND(R7="Preventivo",S7="Automático"),"50%",IF(AND(R7="Preventivo",S7="Manual"),"40%",IF(AND(R7="Detectivo",S7="Automático"),"40%",IF(AND(R7="Detectivo",S7="Manual"),"30%",IF(AND(R7="Correctivo",S7="Automático"),"35%",IF(AND(R7="Correctivo",S7="Manual"),"25%",""))))))</f>
        <v>40%</v>
      </c>
      <c r="U7" s="144" t="s">
        <v>163</v>
      </c>
      <c r="V7" s="144" t="s">
        <v>168</v>
      </c>
      <c r="W7" s="144" t="s">
        <v>172</v>
      </c>
      <c r="X7" s="146">
        <f>IFERROR(IF(Q7="Probabilidad",(I7-(+I7*T7)),IF(Q7="Impacto",I7,"")),"")</f>
        <v>0.36</v>
      </c>
      <c r="Y7" s="142" t="str">
        <f>IFERROR(IF(X7="","",IF(X7&lt;=0.2,"Muy Baja",IF(X7&lt;=0.4,"Baja",IF(X7&lt;=0.6,"Media",IF(X7&lt;=0.8,"Alta","Muy Alta"))))),"")</f>
        <v>Baja</v>
      </c>
      <c r="Z7" s="145">
        <f>+X7</f>
        <v>0.36</v>
      </c>
      <c r="AA7" s="142" t="str">
        <f ca="1">IFERROR(IF(AB7="","",IF(AB7&lt;=0.2,"Leve",IF(AB7&lt;=0.4,"Menor",IF(AB7&lt;=0.6,"Moderado",IF(AB7&lt;=0.8,"Mayor","Catastrófico"))))),"")</f>
        <v>Menor</v>
      </c>
      <c r="AB7" s="145">
        <f ca="1">IFERROR(IF(Q7="Impacto",(M7-(+M7*T7)),IF(Q7="Probabilidad",M7,"")),"")</f>
        <v>0.4</v>
      </c>
      <c r="AC7" s="147" t="str">
        <f ca="1">IFERROR(IF(OR(AND(Y7="Muy Baja",AA7="Leve"),AND(Y7="Muy Baja",AA7="Menor"),AND(Y7="Baja",AA7="Leve")),"Bajo",IF(OR(AND(Y7="Muy baja",AA7="Moderado"),AND(Y7="Baja",AA7="Menor"),AND(Y7="Baja",AA7="Moderado"),AND(Y7="Media",AA7="Leve"),AND(Y7="Media",AA7="Menor"),AND(Y7="Media",AA7="Moderado"),AND(Y7="Alta",AA7="Leve"),AND(Y7="Alta",AA7="Menor")),"Moderado",IF(OR(AND(Y7="Muy Baja",AA7="Mayor"),AND(Y7="Baja",AA7="Mayor"),AND(Y7="Media",AA7="Mayor"),AND(Y7="Alta",AA7="Moderado"),AND(Y7="Alta",AA7="Mayor"),AND(Y7="Muy Alta",AA7="Leve"),AND(Y7="Muy Alta",AA7="Menor"),AND(Y7="Muy Alta",AA7="Moderado"),AND(Y7="Muy Alta",AA7="Mayor")),"Alto",IF(OR(AND(Y7="Muy Baja",AA7="Catastrófico"),AND(Y7="Baja",AA7="Catastrófico"),AND(Y7="Media",AA7="Catastrófico"),AND(Y7="Alta",AA7="Catastrófico"),AND(Y7="Muy Alta",AA7="Catastrófico")),"Extremo","")))),"")</f>
        <v>Moderado</v>
      </c>
      <c r="AD7" s="144" t="s">
        <v>183</v>
      </c>
      <c r="AE7" s="152" t="s">
        <v>408</v>
      </c>
      <c r="AF7" s="168" t="s">
        <v>444</v>
      </c>
      <c r="AG7" s="169">
        <v>46055</v>
      </c>
      <c r="AH7" s="169">
        <v>46374</v>
      </c>
      <c r="AI7" s="170"/>
      <c r="AJ7" s="164"/>
      <c r="AK7" s="164"/>
      <c r="AL7" s="164"/>
      <c r="AM7" s="164"/>
      <c r="AN7" s="164"/>
      <c r="AO7" s="164"/>
      <c r="AP7" s="164"/>
      <c r="AQ7" s="151"/>
      <c r="AR7" s="151"/>
      <c r="AS7" s="86"/>
      <c r="AT7" s="86"/>
      <c r="AU7" s="86"/>
      <c r="AV7" s="86"/>
      <c r="AW7" s="86"/>
      <c r="AX7" s="86"/>
      <c r="AY7" s="86"/>
      <c r="AZ7" s="86"/>
      <c r="BA7" s="86"/>
      <c r="BB7" s="86"/>
      <c r="BC7" s="86"/>
      <c r="BD7" s="86"/>
      <c r="BE7" s="86"/>
      <c r="BF7" s="86"/>
      <c r="BG7" s="86"/>
      <c r="BH7" s="86"/>
      <c r="BI7" s="86"/>
      <c r="BJ7" s="86"/>
      <c r="BK7" s="86"/>
    </row>
    <row r="8" spans="1:63" s="87" customFormat="1" ht="168.75" customHeight="1" x14ac:dyDescent="0.25">
      <c r="A8" s="261"/>
      <c r="B8" s="242"/>
      <c r="C8" s="243"/>
      <c r="D8" s="243"/>
      <c r="E8" s="244"/>
      <c r="F8" s="243"/>
      <c r="G8" s="260"/>
      <c r="H8" s="233"/>
      <c r="I8" s="234"/>
      <c r="J8" s="236"/>
      <c r="K8" s="234">
        <f ca="1">IF(NOT(ISERROR(MATCH(J8,_xlfn.ANCHORARRAY(E15),0))),#REF!&amp;"Por favor no seleccionar los criterios de impacto",J8)</f>
        <v>0</v>
      </c>
      <c r="L8" s="233"/>
      <c r="M8" s="234"/>
      <c r="N8" s="235"/>
      <c r="O8" s="138">
        <v>2</v>
      </c>
      <c r="P8" s="97"/>
      <c r="Q8" s="139" t="str">
        <f t="shared" ref="Q8" si="1">IF(OR(R8="Preventivo",R8="Detectivo"),"Probabilidad",IF(R8="Correctivo","Impacto",""))</f>
        <v/>
      </c>
      <c r="R8" s="140"/>
      <c r="S8" s="140"/>
      <c r="T8" s="137"/>
      <c r="U8" s="140"/>
      <c r="V8" s="140"/>
      <c r="W8" s="140"/>
      <c r="X8" s="141"/>
      <c r="Y8" s="142"/>
      <c r="Z8" s="137"/>
      <c r="AA8" s="142"/>
      <c r="AB8" s="137"/>
      <c r="AC8" s="142"/>
      <c r="AD8" s="140"/>
      <c r="AE8" s="152" t="s">
        <v>369</v>
      </c>
      <c r="AF8" s="158" t="s">
        <v>432</v>
      </c>
      <c r="AG8" s="171">
        <v>46055</v>
      </c>
      <c r="AH8" s="171">
        <v>46374</v>
      </c>
      <c r="AI8" s="170"/>
      <c r="AJ8" s="164"/>
      <c r="AK8" s="164"/>
      <c r="AL8" s="164"/>
      <c r="AM8" s="164"/>
      <c r="AN8" s="164"/>
      <c r="AO8" s="164"/>
      <c r="AP8" s="164"/>
      <c r="AQ8" s="151"/>
      <c r="AR8" s="151"/>
      <c r="AS8" s="86"/>
      <c r="AT8" s="86"/>
      <c r="AU8" s="86"/>
      <c r="AV8" s="86"/>
      <c r="AW8" s="86"/>
      <c r="AX8" s="86"/>
      <c r="AY8" s="86"/>
      <c r="AZ8" s="86"/>
      <c r="BA8" s="86"/>
      <c r="BB8" s="86"/>
      <c r="BC8" s="86"/>
      <c r="BD8" s="86"/>
      <c r="BE8" s="86"/>
      <c r="BF8" s="86"/>
      <c r="BG8" s="86"/>
      <c r="BH8" s="86"/>
      <c r="BI8" s="86"/>
      <c r="BJ8" s="86"/>
      <c r="BK8" s="86"/>
    </row>
    <row r="9" spans="1:63" s="89" customFormat="1" ht="192" customHeight="1" x14ac:dyDescent="0.25">
      <c r="A9" s="261">
        <v>2</v>
      </c>
      <c r="B9" s="242" t="s">
        <v>198</v>
      </c>
      <c r="C9" s="243" t="s">
        <v>180</v>
      </c>
      <c r="D9" s="243" t="s">
        <v>201</v>
      </c>
      <c r="E9" s="244" t="s">
        <v>200</v>
      </c>
      <c r="F9" s="243" t="s">
        <v>370</v>
      </c>
      <c r="G9" s="260">
        <v>40</v>
      </c>
      <c r="H9" s="233" t="str">
        <f>IF(G9&lt;=0,"",IF(G9&lt;=2,"Muy Baja",IF(G9&lt;=24,"Baja",IF(G9&lt;=500,"Media",IF(G9&lt;=5000,"Alta","Muy Alta")))))</f>
        <v>Media</v>
      </c>
      <c r="I9" s="234">
        <f>IF(H9="","",IF(H9="Muy Baja",0.2,IF(H9="Baja",0.4,IF(H9="Media",0.6,IF(H9="Alta",0.8,IF(H9="Muy Alta",1,))))))</f>
        <v>0.6</v>
      </c>
      <c r="J9" s="236" t="s">
        <v>136</v>
      </c>
      <c r="K9" s="234" t="str">
        <f ca="1">IF(NOT(ISERROR(MATCH(J9,'Tabla Impacto'!$B$221:$B$223,0))),'Tabla Impacto'!$F$223&amp;"Por favor no seleccionar los criterios de impacto(Afectación Económica o presupuestal y Pérdida Reputacional)",J9)</f>
        <v xml:space="preserve">     El riesgo afecta la imagen de la entidad con algunos usuarios de relevancia frente al logro de los objetivos</v>
      </c>
      <c r="L9" s="233" t="str">
        <f ca="1">IF(OR(K9='Tabla Impacto'!$C$11,K9='Tabla Impacto'!$D$11),"Leve",IF(OR(K9='Tabla Impacto'!$C$12,K9='Tabla Impacto'!$D$12),"Menor",IF(OR(K9='Tabla Impacto'!$C$13,K9='Tabla Impacto'!$D$13),"Moderado",IF(OR(K9='Tabla Impacto'!$C$14,K9='Tabla Impacto'!$D$14),"Mayor",IF(OR(K9='Tabla Impacto'!$C$15,K9='Tabla Impacto'!$D$15),"Catastrófico","")))))</f>
        <v>Moderado</v>
      </c>
      <c r="M9" s="234">
        <f ca="1">IF(L9="","",IF(L9="Leve",0.2,IF(L9="Menor",0.4,IF(L9="Moderado",0.6,IF(L9="Mayor",0.8,IF(L9="Catastrófico",1,))))))</f>
        <v>0.6</v>
      </c>
      <c r="N9" s="235" t="str">
        <f t="shared" ref="N9" ca="1" si="2">IF(OR(AND(H9="Muy Baja",L9="Leve"),AND(H9="Muy Baja",L9="Menor"),AND(H9="Baja",L9="Leve")),"Bajo",IF(OR(AND(H9="Muy baja",L9="Moderado"),AND(H9="Baja",L9="Menor"),AND(H9="Baja",L9="Moderado"),AND(H9="Media",L9="Leve"),AND(H9="Media",L9="Menor"),AND(H9="Media",L9="Moderado"),AND(H9="Alta",L9="Leve"),AND(H9="Alta",L9="Menor")),"Moderado",IF(OR(AND(H9="Muy Baja",L9="Mayor"),AND(H9="Baja",L9="Mayor"),AND(H9="Media",L9="Mayor"),AND(H9="Alta",L9="Moderado"),AND(H9="Alta",L9="Mayor"),AND(H9="Muy Alta",L9="Leve"),AND(H9="Muy Alta",L9="Menor"),AND(H9="Muy Alta",L9="Moderado"),AND(H9="Muy Alta",L9="Mayor")),"Alto",IF(OR(AND(H9="Muy Baja",L9="Catastrófico"),AND(H9="Baja",L9="Catastrófico"),AND(H9="Media",L9="Catastrófico"),AND(H9="Alta",L9="Catastrófico"),AND(H9="Muy Alta",L9="Catastrófico")),"Extremo",""))))</f>
        <v>Moderado</v>
      </c>
      <c r="O9" s="136">
        <v>1</v>
      </c>
      <c r="P9" s="97" t="s">
        <v>202</v>
      </c>
      <c r="Q9" s="139" t="str">
        <f>IF(OR(R9="Preventivo",R9="Detectivo"),"Probabilidad",IF(R9="Correctivo","Impacto",""))</f>
        <v>Probabilidad</v>
      </c>
      <c r="R9" s="140" t="s">
        <v>152</v>
      </c>
      <c r="S9" s="140" t="s">
        <v>160</v>
      </c>
      <c r="T9" s="137" t="str">
        <f>IF(AND(R9="Preventivo",S9="Automático"),"50%",IF(AND(R9="Preventivo",S9="Manual"),"40%",IF(AND(R9="Detectivo",S9="Automático"),"40%",IF(AND(R9="Detectivo",S9="Manual"),"30%",IF(AND(R9="Correctivo",S9="Automático"),"35%",IF(AND(R9="Correctivo",S9="Manual"),"25%",""))))))</f>
        <v>40%</v>
      </c>
      <c r="U9" s="140" t="s">
        <v>163</v>
      </c>
      <c r="V9" s="140" t="s">
        <v>168</v>
      </c>
      <c r="W9" s="140" t="s">
        <v>172</v>
      </c>
      <c r="X9" s="141">
        <f>IFERROR(IF(Q9="Probabilidad",(I9-(+I9*T9)),IF(Q9="Impacto",I9,"")),"")</f>
        <v>0.36</v>
      </c>
      <c r="Y9" s="142" t="str">
        <f>IFERROR(IF(X9="","",IF(X9&lt;=0.2,"Muy Baja",IF(X9&lt;=0.4,"Baja",IF(X9&lt;=0.6,"Media",IF(X9&lt;=0.8,"Alta","Muy Alta"))))),"")</f>
        <v>Baja</v>
      </c>
      <c r="Z9" s="137">
        <f>+X9</f>
        <v>0.36</v>
      </c>
      <c r="AA9" s="142" t="str">
        <f ca="1">IFERROR(IF(AB9="","",IF(AB9&lt;=0.2,"Leve",IF(AB9&lt;=0.4,"Menor",IF(AB9&lt;=0.6,"Moderado",IF(AB9&lt;=0.8,"Mayor","Catastrófico"))))),"")</f>
        <v>Moderado</v>
      </c>
      <c r="AB9" s="137">
        <f ca="1">IFERROR(IF(Q9="Impacto",(M9-(+M9*T9)),IF(Q9="Probabilidad",M9,"")),"")</f>
        <v>0.6</v>
      </c>
      <c r="AC9" s="142" t="str">
        <f ca="1">IFERROR(IF(OR(AND(Y9="Muy Baja",AA9="Leve"),AND(Y9="Muy Baja",AA9="Menor"),AND(Y9="Baja",AA9="Leve")),"Bajo",IF(OR(AND(Y9="Muy baja",AA9="Moderado"),AND(Y9="Baja",AA9="Menor"),AND(Y9="Baja",AA9="Moderado"),AND(Y9="Media",AA9="Leve"),AND(Y9="Media",AA9="Menor"),AND(Y9="Media",AA9="Moderado"),AND(Y9="Alta",AA9="Leve"),AND(Y9="Alta",AA9="Menor")),"Moderado",IF(OR(AND(Y9="Muy Baja",AA9="Mayor"),AND(Y9="Baja",AA9="Mayor"),AND(Y9="Media",AA9="Mayor"),AND(Y9="Alta",AA9="Moderado"),AND(Y9="Alta",AA9="Mayor"),AND(Y9="Muy Alta",AA9="Leve"),AND(Y9="Muy Alta",AA9="Menor"),AND(Y9="Muy Alta",AA9="Moderado"),AND(Y9="Muy Alta",AA9="Mayor")),"Alto",IF(OR(AND(Y9="Muy Baja",AA9="Catastrófico"),AND(Y9="Baja",AA9="Catastrófico"),AND(Y9="Media",AA9="Catastrófico"),AND(Y9="Alta",AA9="Catastrófico"),AND(Y9="Muy Alta",AA9="Catastrófico")),"Extremo","")))),"")</f>
        <v>Moderado</v>
      </c>
      <c r="AD9" s="140" t="s">
        <v>179</v>
      </c>
      <c r="AE9" s="152" t="s">
        <v>203</v>
      </c>
      <c r="AF9" s="159" t="s">
        <v>445</v>
      </c>
      <c r="AG9" s="171">
        <v>46055</v>
      </c>
      <c r="AH9" s="171">
        <v>46374</v>
      </c>
      <c r="AI9" s="170"/>
      <c r="AJ9" s="164"/>
      <c r="AK9" s="164"/>
      <c r="AL9" s="164"/>
      <c r="AM9" s="164"/>
      <c r="AN9" s="164"/>
      <c r="AO9" s="164"/>
      <c r="AP9" s="164"/>
      <c r="AQ9" s="151"/>
      <c r="AR9" s="151"/>
      <c r="AS9" s="88"/>
      <c r="AT9" s="88"/>
      <c r="AU9" s="88"/>
      <c r="AV9" s="88"/>
      <c r="AW9" s="88"/>
      <c r="AX9" s="88"/>
      <c r="AY9" s="88"/>
      <c r="AZ9" s="88"/>
      <c r="BA9" s="88"/>
      <c r="BB9" s="88"/>
      <c r="BC9" s="88"/>
      <c r="BD9" s="88"/>
      <c r="BE9" s="88"/>
      <c r="BF9" s="88"/>
      <c r="BG9" s="88"/>
      <c r="BH9" s="88"/>
      <c r="BI9" s="88"/>
      <c r="BJ9" s="88"/>
      <c r="BK9" s="88"/>
    </row>
    <row r="10" spans="1:63" s="89" customFormat="1" ht="69" customHeight="1" x14ac:dyDescent="0.25">
      <c r="A10" s="261"/>
      <c r="B10" s="242"/>
      <c r="C10" s="243"/>
      <c r="D10" s="243"/>
      <c r="E10" s="244"/>
      <c r="F10" s="243"/>
      <c r="G10" s="260"/>
      <c r="H10" s="233"/>
      <c r="I10" s="234"/>
      <c r="J10" s="236"/>
      <c r="K10" s="234">
        <f ca="1">IF(NOT(ISERROR(MATCH(J10,_xlfn.ANCHORARRAY(E17),0))),#REF!&amp;"Por favor no seleccionar los criterios de impacto",J10)</f>
        <v>0</v>
      </c>
      <c r="L10" s="233"/>
      <c r="M10" s="234"/>
      <c r="N10" s="235"/>
      <c r="O10" s="136">
        <v>2</v>
      </c>
      <c r="P10" s="97"/>
      <c r="Q10" s="148"/>
      <c r="R10" s="144"/>
      <c r="S10" s="144"/>
      <c r="T10" s="145"/>
      <c r="U10" s="144"/>
      <c r="V10" s="144"/>
      <c r="W10" s="144"/>
      <c r="X10" s="146"/>
      <c r="Y10" s="142"/>
      <c r="Z10" s="145"/>
      <c r="AA10" s="142"/>
      <c r="AB10" s="145"/>
      <c r="AC10" s="147"/>
      <c r="AD10" s="144"/>
      <c r="AE10" s="152" t="s">
        <v>204</v>
      </c>
      <c r="AF10" s="159" t="s">
        <v>445</v>
      </c>
      <c r="AG10" s="171">
        <v>46055</v>
      </c>
      <c r="AH10" s="171">
        <v>46374</v>
      </c>
      <c r="AI10" s="170"/>
      <c r="AJ10" s="164"/>
      <c r="AK10" s="164"/>
      <c r="AL10" s="164"/>
      <c r="AM10" s="164"/>
      <c r="AN10" s="164"/>
      <c r="AO10" s="164"/>
      <c r="AP10" s="164"/>
      <c r="AQ10" s="151"/>
      <c r="AR10" s="151"/>
      <c r="AS10" s="88"/>
      <c r="AT10" s="88"/>
      <c r="AU10" s="88"/>
      <c r="AV10" s="88"/>
      <c r="AW10" s="88"/>
      <c r="AX10" s="88"/>
      <c r="AY10" s="88"/>
      <c r="AZ10" s="88"/>
      <c r="BA10" s="88"/>
      <c r="BB10" s="88"/>
      <c r="BC10" s="88"/>
      <c r="BD10" s="88"/>
      <c r="BE10" s="88"/>
      <c r="BF10" s="88"/>
      <c r="BG10" s="88"/>
      <c r="BH10" s="88"/>
      <c r="BI10" s="88"/>
      <c r="BJ10" s="88"/>
      <c r="BK10" s="88"/>
    </row>
    <row r="11" spans="1:63" s="89" customFormat="1" ht="122.25" customHeight="1" x14ac:dyDescent="0.25">
      <c r="A11" s="261"/>
      <c r="B11" s="242"/>
      <c r="C11" s="243"/>
      <c r="D11" s="243"/>
      <c r="E11" s="244"/>
      <c r="F11" s="243"/>
      <c r="G11" s="260"/>
      <c r="H11" s="233"/>
      <c r="I11" s="234"/>
      <c r="J11" s="236"/>
      <c r="K11" s="234">
        <f ca="1">IF(NOT(ISERROR(MATCH(J11,_xlfn.ANCHORARRAY(E18),0))),#REF!&amp;"Por favor no seleccionar los criterios de impacto",J11)</f>
        <v>0</v>
      </c>
      <c r="L11" s="233"/>
      <c r="M11" s="234"/>
      <c r="N11" s="235"/>
      <c r="O11" s="136">
        <v>3</v>
      </c>
      <c r="P11" s="143"/>
      <c r="Q11" s="148" t="str">
        <f>IF(OR(R11="Preventivo",R11="Detectivo"),"Probabilidad",IF(R11="Correctivo","Impacto",""))</f>
        <v/>
      </c>
      <c r="R11" s="144"/>
      <c r="S11" s="144"/>
      <c r="T11" s="145" t="str">
        <f t="shared" ref="T11:T14" si="3">IF(AND(R11="Preventivo",S11="Automático"),"50%",IF(AND(R11="Preventivo",S11="Manual"),"40%",IF(AND(R11="Detectivo",S11="Automático"),"40%",IF(AND(R11="Detectivo",S11="Manual"),"30%",IF(AND(R11="Correctivo",S11="Automático"),"35%",IF(AND(R11="Correctivo",S11="Manual"),"25%",""))))))</f>
        <v/>
      </c>
      <c r="U11" s="144"/>
      <c r="V11" s="144"/>
      <c r="W11" s="144"/>
      <c r="X11" s="146" t="str">
        <f>IFERROR(IF(AND(Q10="Probabilidad",Q11="Probabilidad"),(Z10-(+Z10*T11)),IF(AND(Q10="Impacto",Q11="Probabilidad"),(Z9-(+Z9*T11)),IF(Q11="Impacto",Z10,""))),"")</f>
        <v/>
      </c>
      <c r="Y11" s="142" t="str">
        <f t="shared" ref="Y11:Y22" si="4">IFERROR(IF(X11="","",IF(X11&lt;=0.2,"Muy Baja",IF(X11&lt;=0.4,"Baja",IF(X11&lt;=0.6,"Media",IF(X11&lt;=0.8,"Alta","Muy Alta"))))),"")</f>
        <v/>
      </c>
      <c r="Z11" s="145" t="str">
        <f t="shared" ref="Z11:Z14" si="5">+X11</f>
        <v/>
      </c>
      <c r="AA11" s="142" t="str">
        <f t="shared" ref="AA11:AA22" si="6">IFERROR(IF(AB11="","",IF(AB11&lt;=0.2,"Leve",IF(AB11&lt;=0.4,"Menor",IF(AB11&lt;=0.6,"Moderado",IF(AB11&lt;=0.8,"Mayor","Catastrófico"))))),"")</f>
        <v/>
      </c>
      <c r="AB11" s="145" t="str">
        <f>IFERROR(IF(AND(Q10="Impacto",Q11="Impacto"),(AB10-(+AB10*T11)),IF(AND(Q10="Probabilidad",Q11="Impacto"),(AB9-(+AB9*T11)),IF(Q11="Probabilidad",AB10,""))),"")</f>
        <v/>
      </c>
      <c r="AC11" s="147" t="str">
        <f t="shared" ref="AC11" si="7">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144"/>
      <c r="AE11" s="152" t="s">
        <v>205</v>
      </c>
      <c r="AF11" s="159" t="s">
        <v>445</v>
      </c>
      <c r="AG11" s="171">
        <v>46055</v>
      </c>
      <c r="AH11" s="171">
        <v>46374</v>
      </c>
      <c r="AI11" s="170"/>
      <c r="AJ11" s="164"/>
      <c r="AK11" s="164"/>
      <c r="AL11" s="164"/>
      <c r="AM11" s="164"/>
      <c r="AN11" s="164"/>
      <c r="AO11" s="164"/>
      <c r="AP11" s="164"/>
      <c r="AQ11" s="151"/>
      <c r="AR11" s="151"/>
      <c r="AS11" s="88"/>
      <c r="AT11" s="88"/>
      <c r="AU11" s="88"/>
      <c r="AV11" s="88"/>
      <c r="AW11" s="88"/>
      <c r="AX11" s="88"/>
      <c r="AY11" s="88"/>
      <c r="AZ11" s="88"/>
      <c r="BA11" s="88"/>
      <c r="BB11" s="88"/>
      <c r="BC11" s="88"/>
      <c r="BD11" s="88"/>
      <c r="BE11" s="88"/>
      <c r="BF11" s="88"/>
      <c r="BG11" s="88"/>
      <c r="BH11" s="88"/>
      <c r="BI11" s="88"/>
      <c r="BJ11" s="88"/>
      <c r="BK11" s="88"/>
    </row>
    <row r="12" spans="1:63" s="89" customFormat="1" ht="60.75" customHeight="1" x14ac:dyDescent="0.25">
      <c r="A12" s="261"/>
      <c r="B12" s="242"/>
      <c r="C12" s="243"/>
      <c r="D12" s="243"/>
      <c r="E12" s="244"/>
      <c r="F12" s="243"/>
      <c r="G12" s="260"/>
      <c r="H12" s="233"/>
      <c r="I12" s="234"/>
      <c r="J12" s="236"/>
      <c r="K12" s="234">
        <f ca="1">IF(NOT(ISERROR(MATCH(J12,_xlfn.ANCHORARRAY(#REF!),0))),#REF!&amp;"Por favor no seleccionar los criterios de impacto",J12)</f>
        <v>0</v>
      </c>
      <c r="L12" s="233"/>
      <c r="M12" s="234"/>
      <c r="N12" s="235"/>
      <c r="O12" s="136">
        <v>4</v>
      </c>
      <c r="P12" s="97"/>
      <c r="Q12" s="148" t="str">
        <f t="shared" ref="Q12:Q14" si="8">IF(OR(R12="Preventivo",R12="Detectivo"),"Probabilidad",IF(R12="Correctivo","Impacto",""))</f>
        <v/>
      </c>
      <c r="R12" s="144"/>
      <c r="S12" s="144"/>
      <c r="T12" s="145" t="str">
        <f t="shared" si="3"/>
        <v/>
      </c>
      <c r="U12" s="144"/>
      <c r="V12" s="144"/>
      <c r="W12" s="144"/>
      <c r="X12" s="146" t="str">
        <f t="shared" ref="X12:X14" si="9">IFERROR(IF(AND(Q11="Probabilidad",Q12="Probabilidad"),(Z11-(+Z11*T12)),IF(AND(Q11="Impacto",Q12="Probabilidad"),(Z10-(+Z10*T12)),IF(Q12="Impacto",Z11,""))),"")</f>
        <v/>
      </c>
      <c r="Y12" s="142" t="str">
        <f t="shared" si="4"/>
        <v/>
      </c>
      <c r="Z12" s="145" t="str">
        <f t="shared" si="5"/>
        <v/>
      </c>
      <c r="AA12" s="142" t="str">
        <f t="shared" si="6"/>
        <v/>
      </c>
      <c r="AB12" s="145" t="str">
        <f t="shared" ref="AB12:AB14" si="10">IFERROR(IF(AND(Q11="Impacto",Q12="Impacto"),(AB11-(+AB11*T12)),IF(AND(Q11="Probabilidad",Q12="Impacto"),(AB10-(+AB10*T12)),IF(Q12="Probabilidad",AB11,""))),"")</f>
        <v/>
      </c>
      <c r="AC12" s="147" t="str">
        <f>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44"/>
      <c r="AE12" s="152" t="s">
        <v>206</v>
      </c>
      <c r="AF12" s="159" t="s">
        <v>445</v>
      </c>
      <c r="AG12" s="171">
        <v>46055</v>
      </c>
      <c r="AH12" s="171">
        <v>46374</v>
      </c>
      <c r="AI12" s="170"/>
      <c r="AJ12" s="164"/>
      <c r="AK12" s="164"/>
      <c r="AL12" s="164"/>
      <c r="AM12" s="164"/>
      <c r="AN12" s="164"/>
      <c r="AO12" s="164"/>
      <c r="AP12" s="164"/>
      <c r="AQ12" s="151"/>
      <c r="AR12" s="151"/>
      <c r="AS12" s="88"/>
      <c r="AT12" s="88"/>
      <c r="AU12" s="88"/>
      <c r="AV12" s="88"/>
      <c r="AW12" s="88"/>
      <c r="AX12" s="88"/>
      <c r="AY12" s="88"/>
      <c r="AZ12" s="88"/>
      <c r="BA12" s="88"/>
      <c r="BB12" s="88"/>
      <c r="BC12" s="88"/>
      <c r="BD12" s="88"/>
      <c r="BE12" s="88"/>
      <c r="BF12" s="88"/>
      <c r="BG12" s="88"/>
      <c r="BH12" s="88"/>
      <c r="BI12" s="88"/>
      <c r="BJ12" s="88"/>
      <c r="BK12" s="88"/>
    </row>
    <row r="13" spans="1:63" s="89" customFormat="1" ht="75.75" customHeight="1" x14ac:dyDescent="0.25">
      <c r="A13" s="261"/>
      <c r="B13" s="242"/>
      <c r="C13" s="243"/>
      <c r="D13" s="243"/>
      <c r="E13" s="244"/>
      <c r="F13" s="243"/>
      <c r="G13" s="260"/>
      <c r="H13" s="233"/>
      <c r="I13" s="234"/>
      <c r="J13" s="236"/>
      <c r="K13" s="234">
        <f ca="1">IF(NOT(ISERROR(MATCH(J13,_xlfn.ANCHORARRAY(#REF!),0))),#REF!&amp;"Por favor no seleccionar los criterios de impacto",J13)</f>
        <v>0</v>
      </c>
      <c r="L13" s="233"/>
      <c r="M13" s="234"/>
      <c r="N13" s="235"/>
      <c r="O13" s="136">
        <v>5</v>
      </c>
      <c r="P13" s="97"/>
      <c r="Q13" s="148" t="str">
        <f t="shared" si="8"/>
        <v/>
      </c>
      <c r="R13" s="144"/>
      <c r="S13" s="144"/>
      <c r="T13" s="145" t="str">
        <f t="shared" si="3"/>
        <v/>
      </c>
      <c r="U13" s="144"/>
      <c r="V13" s="144"/>
      <c r="W13" s="144"/>
      <c r="X13" s="146" t="str">
        <f t="shared" si="9"/>
        <v/>
      </c>
      <c r="Y13" s="142" t="str">
        <f t="shared" si="4"/>
        <v/>
      </c>
      <c r="Z13" s="145" t="str">
        <f t="shared" si="5"/>
        <v/>
      </c>
      <c r="AA13" s="142" t="str">
        <f t="shared" si="6"/>
        <v/>
      </c>
      <c r="AB13" s="145" t="str">
        <f t="shared" si="10"/>
        <v/>
      </c>
      <c r="AC13" s="147" t="str">
        <f t="shared" ref="AC13:AC14" si="11">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
      </c>
      <c r="AD13" s="144"/>
      <c r="AE13" s="152" t="s">
        <v>207</v>
      </c>
      <c r="AF13" s="159" t="s">
        <v>445</v>
      </c>
      <c r="AG13" s="171">
        <v>46055</v>
      </c>
      <c r="AH13" s="171">
        <v>46374</v>
      </c>
      <c r="AI13" s="170"/>
      <c r="AJ13" s="164"/>
      <c r="AK13" s="164"/>
      <c r="AL13" s="164"/>
      <c r="AM13" s="164"/>
      <c r="AN13" s="164"/>
      <c r="AO13" s="164"/>
      <c r="AP13" s="164"/>
      <c r="AQ13" s="151"/>
      <c r="AR13" s="151"/>
      <c r="AS13" s="88"/>
      <c r="AT13" s="88"/>
      <c r="AU13" s="88"/>
      <c r="AV13" s="88"/>
      <c r="AW13" s="88"/>
      <c r="AX13" s="88"/>
      <c r="AY13" s="88"/>
      <c r="AZ13" s="88"/>
      <c r="BA13" s="88"/>
      <c r="BB13" s="88"/>
      <c r="BC13" s="88"/>
      <c r="BD13" s="88"/>
      <c r="BE13" s="88"/>
      <c r="BF13" s="88"/>
      <c r="BG13" s="88"/>
      <c r="BH13" s="88"/>
      <c r="BI13" s="88"/>
      <c r="BJ13" s="88"/>
      <c r="BK13" s="88"/>
    </row>
    <row r="14" spans="1:63" s="89" customFormat="1" ht="18" customHeight="1" x14ac:dyDescent="0.25">
      <c r="A14" s="261"/>
      <c r="B14" s="242"/>
      <c r="C14" s="243"/>
      <c r="D14" s="243"/>
      <c r="E14" s="244"/>
      <c r="F14" s="243"/>
      <c r="G14" s="260"/>
      <c r="H14" s="233"/>
      <c r="I14" s="234"/>
      <c r="J14" s="236"/>
      <c r="K14" s="234">
        <f ca="1">IF(NOT(ISERROR(MATCH(J14,_xlfn.ANCHORARRAY(#REF!),0))),I19&amp;"Por favor no seleccionar los criterios de impacto",J14)</f>
        <v>0</v>
      </c>
      <c r="L14" s="233"/>
      <c r="M14" s="234"/>
      <c r="N14" s="235"/>
      <c r="O14" s="136">
        <v>6</v>
      </c>
      <c r="P14" s="97"/>
      <c r="Q14" s="148" t="str">
        <f t="shared" si="8"/>
        <v/>
      </c>
      <c r="R14" s="144"/>
      <c r="S14" s="144"/>
      <c r="T14" s="145" t="str">
        <f t="shared" si="3"/>
        <v/>
      </c>
      <c r="U14" s="144"/>
      <c r="V14" s="144"/>
      <c r="W14" s="144"/>
      <c r="X14" s="146" t="str">
        <f t="shared" si="9"/>
        <v/>
      </c>
      <c r="Y14" s="142" t="str">
        <f t="shared" si="4"/>
        <v/>
      </c>
      <c r="Z14" s="145" t="str">
        <f t="shared" si="5"/>
        <v/>
      </c>
      <c r="AA14" s="142" t="str">
        <f t="shared" si="6"/>
        <v/>
      </c>
      <c r="AB14" s="145" t="str">
        <f t="shared" si="10"/>
        <v/>
      </c>
      <c r="AC14" s="147" t="str">
        <f t="shared" si="11"/>
        <v/>
      </c>
      <c r="AD14" s="144"/>
      <c r="AE14" s="152"/>
      <c r="AF14" s="151"/>
      <c r="AG14" s="164">
        <v>46055</v>
      </c>
      <c r="AH14" s="164">
        <v>46374</v>
      </c>
      <c r="AI14" s="164"/>
      <c r="AJ14" s="164"/>
      <c r="AK14" s="164"/>
      <c r="AL14" s="164"/>
      <c r="AM14" s="164"/>
      <c r="AN14" s="164"/>
      <c r="AO14" s="164"/>
      <c r="AP14" s="164"/>
      <c r="AQ14" s="151"/>
      <c r="AR14" s="151"/>
      <c r="AS14" s="88"/>
      <c r="AT14" s="88"/>
      <c r="AU14" s="88"/>
      <c r="AV14" s="88"/>
      <c r="AW14" s="88"/>
      <c r="AX14" s="88"/>
      <c r="AY14" s="88"/>
      <c r="AZ14" s="88"/>
      <c r="BA14" s="88"/>
      <c r="BB14" s="88"/>
      <c r="BC14" s="88"/>
      <c r="BD14" s="88"/>
      <c r="BE14" s="88"/>
      <c r="BF14" s="88"/>
      <c r="BG14" s="88"/>
      <c r="BH14" s="88"/>
      <c r="BI14" s="88"/>
      <c r="BJ14" s="88"/>
      <c r="BK14" s="88"/>
    </row>
    <row r="15" spans="1:63" s="89" customFormat="1" ht="132.75" customHeight="1" x14ac:dyDescent="0.25">
      <c r="A15" s="241">
        <v>3</v>
      </c>
      <c r="B15" s="242" t="s">
        <v>371</v>
      </c>
      <c r="C15" s="243" t="s">
        <v>180</v>
      </c>
      <c r="D15" s="243" t="s">
        <v>208</v>
      </c>
      <c r="E15" s="243" t="s">
        <v>209</v>
      </c>
      <c r="F15" s="243" t="s">
        <v>370</v>
      </c>
      <c r="G15" s="260">
        <v>40</v>
      </c>
      <c r="H15" s="233" t="str">
        <f t="shared" ref="H15" si="12">IF(G15&lt;=0,"",IF(G15&lt;=2,"Muy Baja",IF(G15&lt;=24,"Baja",IF(G15&lt;=500,"Media",IF(G15&lt;=5000,"Alta","Muy Alta")))))</f>
        <v>Media</v>
      </c>
      <c r="I15" s="234">
        <f>IF(H15="","",IF(H15="Muy Baja",0.2,IF(H15="Baja",0.4,IF(H15="Media",0.6,IF(H15="Alta",0.8,IF(H15="Muy Alta",1,))))))</f>
        <v>0.6</v>
      </c>
      <c r="J15" s="236" t="s">
        <v>138</v>
      </c>
      <c r="K15" s="234" t="str">
        <f ca="1">IF(NOT(ISERROR(MATCH(J15,'Tabla Impacto'!$B$221:$B$223,0))),'Tabla Impacto'!$F$223&amp;"Por favor no seleccionar los criterios de impacto(Afectación Económica o presupuestal y Pérdida Reputacional)",J15)</f>
        <v xml:space="preserve">     El riesgo afecta la imagen de de la entidad con efecto publicitario sostenido a nivel de sector administrativo, nivel departamental o municipal</v>
      </c>
      <c r="L15" s="233" t="str">
        <f ca="1">IF(OR(K15='Tabla Impacto'!$C$11,K15='Tabla Impacto'!$D$11),"Leve",IF(OR(K15='Tabla Impacto'!$C$12,K15='Tabla Impacto'!$D$12),"Menor",IF(OR(K15='Tabla Impacto'!$C$13,K15='Tabla Impacto'!$D$13),"Moderado",IF(OR(K15='Tabla Impacto'!$C$14,K15='Tabla Impacto'!$D$14),"Mayor",IF(OR(K15='Tabla Impacto'!$C$15,K15='Tabla Impacto'!$D$15),"Catastrófico","")))))</f>
        <v>Mayor</v>
      </c>
      <c r="M15" s="234">
        <f ca="1">IF(L15="","",IF(L15="Leve",0.2,IF(L15="Menor",0.4,IF(L15="Moderado",0.6,IF(L15="Mayor",0.8,IF(L15="Catastrófico",1,))))))</f>
        <v>0.8</v>
      </c>
      <c r="N15" s="235" t="str">
        <f t="shared" ref="N15" ca="1" si="13">IF(OR(AND(H15="Muy Baja",L15="Leve"),AND(H15="Muy Baja",L15="Menor"),AND(H15="Baja",L15="Leve")),"Bajo",IF(OR(AND(H15="Muy baja",L15="Moderado"),AND(H15="Baja",L15="Menor"),AND(H15="Baja",L15="Moderado"),AND(H15="Media",L15="Leve"),AND(H15="Media",L15="Menor"),AND(H15="Media",L15="Moderado"),AND(H15="Alta",L15="Leve"),AND(H15="Alta",L15="Menor")),"Moderado",IF(OR(AND(H15="Muy Baja",L15="Mayor"),AND(H15="Baja",L15="Mayor"),AND(H15="Media",L15="Mayor"),AND(H15="Alta",L15="Moderado"),AND(H15="Alta",L15="Mayor"),AND(H15="Muy Alta",L15="Leve"),AND(H15="Muy Alta",L15="Menor"),AND(H15="Muy Alta",L15="Moderado"),AND(H15="Muy Alta",L15="Mayor")),"Alto",IF(OR(AND(H15="Muy Baja",L15="Catastrófico"),AND(H15="Baja",L15="Catastrófico"),AND(H15="Media",L15="Catastrófico"),AND(H15="Alta",L15="Catastrófico"),AND(H15="Muy Alta",L15="Catastrófico")),"Extremo",""))))</f>
        <v>Alto</v>
      </c>
      <c r="O15" s="136">
        <v>1</v>
      </c>
      <c r="P15" s="97" t="s">
        <v>210</v>
      </c>
      <c r="Q15" s="148" t="str">
        <f t="shared" ref="Q15:Q23" si="14">IF(OR(R15="Preventivo",R15="Detectivo"),"Probabilidad",IF(R15="Correctivo","Impacto",""))</f>
        <v>Probabilidad</v>
      </c>
      <c r="R15" s="144" t="s">
        <v>152</v>
      </c>
      <c r="S15" s="144" t="s">
        <v>160</v>
      </c>
      <c r="T15" s="145" t="str">
        <f>IF(AND(R15="Preventivo",S15="Automático"),"50%",IF(AND(R15="Preventivo",S15="Manual"),"40%",IF(AND(R15="Detectivo",S15="Automático"),"40%",IF(AND(R15="Detectivo",S15="Manual"),"30%",IF(AND(R15="Correctivo",S15="Automático"),"35%",IF(AND(R15="Correctivo",S15="Manual"),"25%",""))))))</f>
        <v>40%</v>
      </c>
      <c r="U15" s="144" t="s">
        <v>163</v>
      </c>
      <c r="V15" s="144" t="s">
        <v>168</v>
      </c>
      <c r="W15" s="144" t="s">
        <v>172</v>
      </c>
      <c r="X15" s="146">
        <f>IFERROR(IF(Q15="Probabilidad",(I15-(+I15*T15)),IF(Q15="Impacto",I15,"")),"")</f>
        <v>0.36</v>
      </c>
      <c r="Y15" s="142" t="str">
        <f>IFERROR(IF(X15="","",IF(X15&lt;=0.2,"Muy Baja",IF(X15&lt;=0.4,"Baja",IF(X15&lt;=0.6,"Media",IF(X15&lt;=0.8,"Alta","Muy Alta"))))),"")</f>
        <v>Baja</v>
      </c>
      <c r="Z15" s="145">
        <f>+X15</f>
        <v>0.36</v>
      </c>
      <c r="AA15" s="142" t="str">
        <f ca="1">IFERROR(IF(AB15="","",IF(AB15&lt;=0.2,"Leve",IF(AB15&lt;=0.4,"Menor",IF(AB15&lt;=0.6,"Moderado",IF(AB15&lt;=0.8,"Mayor","Catastrófico"))))),"")</f>
        <v>Mayor</v>
      </c>
      <c r="AB15" s="145">
        <f ca="1">IFERROR(IF(Q15="Impacto",(M15-(+M15*T15)),IF(Q15="Probabilidad",M15,"")),"")</f>
        <v>0.8</v>
      </c>
      <c r="AC15" s="147" t="str">
        <f ca="1">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Alto</v>
      </c>
      <c r="AD15" s="144" t="s">
        <v>183</v>
      </c>
      <c r="AE15" s="152" t="s">
        <v>212</v>
      </c>
      <c r="AF15" s="151" t="s">
        <v>453</v>
      </c>
      <c r="AG15" s="164">
        <v>46055</v>
      </c>
      <c r="AH15" s="164">
        <v>46374</v>
      </c>
      <c r="AI15" s="164"/>
      <c r="AJ15" s="164"/>
      <c r="AK15" s="164"/>
      <c r="AL15" s="164"/>
      <c r="AM15" s="164"/>
      <c r="AN15" s="164"/>
      <c r="AO15" s="164"/>
      <c r="AP15" s="164"/>
      <c r="AQ15" s="151"/>
      <c r="AR15" s="151"/>
      <c r="AS15" s="88"/>
      <c r="AT15" s="88"/>
      <c r="AU15" s="88"/>
      <c r="AV15" s="88"/>
      <c r="AW15" s="88"/>
      <c r="AX15" s="88"/>
      <c r="AY15" s="88"/>
      <c r="AZ15" s="88"/>
      <c r="BA15" s="88"/>
      <c r="BB15" s="88"/>
      <c r="BC15" s="88"/>
      <c r="BD15" s="88"/>
      <c r="BE15" s="88"/>
      <c r="BF15" s="88"/>
      <c r="BG15" s="88"/>
      <c r="BH15" s="88"/>
      <c r="BI15" s="88"/>
      <c r="BJ15" s="88"/>
      <c r="BK15" s="88"/>
    </row>
    <row r="16" spans="1:63" s="89" customFormat="1" ht="196.5" customHeight="1" x14ac:dyDescent="0.25">
      <c r="A16" s="241"/>
      <c r="B16" s="242"/>
      <c r="C16" s="243"/>
      <c r="D16" s="243"/>
      <c r="E16" s="243"/>
      <c r="F16" s="243"/>
      <c r="G16" s="260"/>
      <c r="H16" s="233"/>
      <c r="I16" s="234"/>
      <c r="J16" s="236"/>
      <c r="K16" s="234">
        <f ca="1">IF(NOT(ISERROR(MATCH(J16,_xlfn.ANCHORARRAY(E19),0))),#REF!&amp;"Por favor no seleccionar los criterios de impacto",J16)</f>
        <v>0</v>
      </c>
      <c r="L16" s="233"/>
      <c r="M16" s="234"/>
      <c r="N16" s="235"/>
      <c r="O16" s="136">
        <v>2</v>
      </c>
      <c r="P16" s="97"/>
      <c r="Q16" s="148" t="str">
        <f t="shared" si="14"/>
        <v/>
      </c>
      <c r="R16" s="144"/>
      <c r="S16" s="144"/>
      <c r="T16" s="145" t="str">
        <f t="shared" ref="T16" si="15">IF(AND(R16="Preventivo",S16="Automático"),"50%",IF(AND(R16="Preventivo",S16="Manual"),"40%",IF(AND(R16="Detectivo",S16="Automático"),"40%",IF(AND(R16="Detectivo",S16="Manual"),"30%",IF(AND(R16="Correctivo",S16="Automático"),"35%",IF(AND(R16="Correctivo",S16="Manual"),"25%",""))))))</f>
        <v/>
      </c>
      <c r="U16" s="144"/>
      <c r="V16" s="144"/>
      <c r="W16" s="144"/>
      <c r="X16" s="146" t="str">
        <f>IFERROR(IF(AND(Q15="Probabilidad",Q16="Probabilidad"),(Z15-(+Z15*T16)),IF(Q16="Probabilidad",(I15-(+I15*T16)),IF(Q16="Impacto",Z15,""))),"")</f>
        <v/>
      </c>
      <c r="Y16" s="142" t="str">
        <f t="shared" si="4"/>
        <v/>
      </c>
      <c r="Z16" s="145" t="str">
        <f t="shared" ref="Z16" si="16">+X16</f>
        <v/>
      </c>
      <c r="AA16" s="142" t="str">
        <f t="shared" si="6"/>
        <v/>
      </c>
      <c r="AB16" s="145" t="str">
        <f>IFERROR(IF(AND(Q15="Impacto",Q16="Impacto"),(AB15-(+AB15*T16)),IF(Q16="Impacto",(M15-(+M15*T16)),IF(Q16="Probabilidad",AB15,""))),"")</f>
        <v/>
      </c>
      <c r="AC16" s="147" t="str">
        <f t="shared" ref="AC16" si="17">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44"/>
      <c r="AE16" s="152" t="s">
        <v>372</v>
      </c>
      <c r="AF16" s="151" t="s">
        <v>453</v>
      </c>
      <c r="AG16" s="164">
        <v>46055</v>
      </c>
      <c r="AH16" s="164">
        <v>46374</v>
      </c>
      <c r="AI16" s="164"/>
      <c r="AJ16" s="164"/>
      <c r="AK16" s="164"/>
      <c r="AL16" s="164"/>
      <c r="AM16" s="164"/>
      <c r="AN16" s="164"/>
      <c r="AO16" s="164"/>
      <c r="AP16" s="164"/>
      <c r="AQ16" s="151"/>
      <c r="AR16" s="151"/>
      <c r="AS16" s="88"/>
      <c r="AT16" s="88"/>
      <c r="AU16" s="88"/>
      <c r="AV16" s="88"/>
      <c r="AW16" s="88"/>
      <c r="AX16" s="88"/>
      <c r="AY16" s="88"/>
      <c r="AZ16" s="88"/>
      <c r="BA16" s="88"/>
      <c r="BB16" s="88"/>
      <c r="BC16" s="88"/>
      <c r="BD16" s="88"/>
      <c r="BE16" s="88"/>
      <c r="BF16" s="88"/>
      <c r="BG16" s="88"/>
      <c r="BH16" s="88"/>
      <c r="BI16" s="88"/>
      <c r="BJ16" s="88"/>
      <c r="BK16" s="88"/>
    </row>
    <row r="17" spans="1:63" s="89" customFormat="1" ht="111" customHeight="1" x14ac:dyDescent="0.25">
      <c r="A17" s="241">
        <v>4</v>
      </c>
      <c r="B17" s="242" t="s">
        <v>371</v>
      </c>
      <c r="C17" s="243" t="s">
        <v>180</v>
      </c>
      <c r="D17" s="243" t="s">
        <v>364</v>
      </c>
      <c r="E17" s="259" t="s">
        <v>365</v>
      </c>
      <c r="F17" s="243" t="s">
        <v>373</v>
      </c>
      <c r="G17" s="260">
        <v>40</v>
      </c>
      <c r="H17" s="233" t="str">
        <f t="shared" ref="H17" si="18">IF(G17&lt;=0,"",IF(G17&lt;=2,"Muy Baja",IF(G17&lt;=24,"Baja",IF(G17&lt;=500,"Media",IF(G17&lt;=5000,"Alta","Muy Alta")))))</f>
        <v>Media</v>
      </c>
      <c r="I17" s="234">
        <f>IF(H17="","",IF(H17="Muy Baja",0.2,IF(H17="Baja",0.4,IF(H17="Media",0.6,IF(H17="Alta",0.8,IF(H17="Muy Alta",1,))))))</f>
        <v>0.6</v>
      </c>
      <c r="J17" s="236" t="s">
        <v>131</v>
      </c>
      <c r="K17" s="234" t="str">
        <f ca="1">IF(NOT(ISERROR(MATCH(J17,'Tabla Impacto'!$B$221:$B$223,0))),'Tabla Impacto'!$F$223&amp;"Por favor no seleccionar los criterios de impacto(Afectación Económica o presupuestal y Pérdida Reputacional)",J17)</f>
        <v xml:space="preserve">     El riesgo afecta la imagen de alguna área de la organización</v>
      </c>
      <c r="L17" s="233" t="str">
        <f ca="1">IF(OR(K17='Tabla Impacto'!$C$11,K17='Tabla Impacto'!$D$11),"Leve",IF(OR(K17='Tabla Impacto'!$C$12,K17='Tabla Impacto'!$D$12),"Menor",IF(OR(K17='Tabla Impacto'!$C$13,K17='Tabla Impacto'!$D$13),"Moderado",IF(OR(K17='Tabla Impacto'!$C$14,K17='Tabla Impacto'!$D$14),"Mayor",IF(OR(K17='Tabla Impacto'!$C$15,K17='Tabla Impacto'!$D$15),"Catastrófico","")))))</f>
        <v>Leve</v>
      </c>
      <c r="M17" s="234">
        <f ca="1">IF(L17="","",IF(L17="Leve",0.2,IF(L17="Menor",0.4,IF(L17="Moderado",0.6,IF(L17="Mayor",0.8,IF(L17="Catastrófico",1,))))))</f>
        <v>0.2</v>
      </c>
      <c r="N17" s="235" t="str">
        <f t="shared" ref="N17" ca="1" si="19">IF(OR(AND(H17="Muy Baja",L17="Leve"),AND(H17="Muy Baja",L17="Menor"),AND(H17="Baja",L17="Leve")),"Bajo",IF(OR(AND(H17="Muy baja",L17="Moderado"),AND(H17="Baja",L17="Menor"),AND(H17="Baja",L17="Moderado"),AND(H17="Media",L17="Leve"),AND(H17="Media",L17="Menor"),AND(H17="Media",L17="Moderado"),AND(H17="Alta",L17="Leve"),AND(H17="Alta",L17="Menor")),"Moderado",IF(OR(AND(H17="Muy Baja",L17="Mayor"),AND(H17="Baja",L17="Mayor"),AND(H17="Media",L17="Mayor"),AND(H17="Alta",L17="Moderado"),AND(H17="Alta",L17="Mayor"),AND(H17="Muy Alta",L17="Leve"),AND(H17="Muy Alta",L17="Menor"),AND(H17="Muy Alta",L17="Moderado"),AND(H17="Muy Alta",L17="Mayor")),"Alto",IF(OR(AND(H17="Muy Baja",L17="Catastrófico"),AND(H17="Baja",L17="Catastrófico"),AND(H17="Media",L17="Catastrófico"),AND(H17="Alta",L17="Catastrófico"),AND(H17="Muy Alta",L17="Catastrófico")),"Extremo",""))))</f>
        <v>Moderado</v>
      </c>
      <c r="O17" s="136">
        <v>1</v>
      </c>
      <c r="P17" s="97" t="s">
        <v>211</v>
      </c>
      <c r="Q17" s="148" t="str">
        <f t="shared" si="14"/>
        <v>Probabilidad</v>
      </c>
      <c r="R17" s="144" t="s">
        <v>152</v>
      </c>
      <c r="S17" s="144" t="s">
        <v>160</v>
      </c>
      <c r="T17" s="145" t="str">
        <f>IF(AND(R17="Preventivo",S17="Automático"),"50%",IF(AND(R17="Preventivo",S17="Manual"),"40%",IF(AND(R17="Detectivo",S17="Automático"),"40%",IF(AND(R17="Detectivo",S17="Manual"),"30%",IF(AND(R17="Correctivo",S17="Automático"),"35%",IF(AND(R17="Correctivo",S17="Manual"),"25%",""))))))</f>
        <v>40%</v>
      </c>
      <c r="U17" s="144" t="s">
        <v>163</v>
      </c>
      <c r="V17" s="144" t="s">
        <v>168</v>
      </c>
      <c r="W17" s="144" t="s">
        <v>172</v>
      </c>
      <c r="X17" s="146">
        <f>IFERROR(IF(Q17="Probabilidad",(I17-(+I17*T17)),IF(Q17="Impacto",I17,"")),"")</f>
        <v>0.36</v>
      </c>
      <c r="Y17" s="142" t="str">
        <f>IFERROR(IF(X17="","",IF(X17&lt;=0.2,"Muy Baja",IF(X17&lt;=0.4,"Baja",IF(X17&lt;=0.6,"Media",IF(X17&lt;=0.8,"Alta","Muy Alta"))))),"")</f>
        <v>Baja</v>
      </c>
      <c r="Z17" s="145">
        <f>+X17</f>
        <v>0.36</v>
      </c>
      <c r="AA17" s="142" t="str">
        <f ca="1">IFERROR(IF(AB17="","",IF(AB17&lt;=0.2,"Leve",IF(AB17&lt;=0.4,"Menor",IF(AB17&lt;=0.6,"Moderado",IF(AB17&lt;=0.8,"Mayor","Catastrófico"))))),"")</f>
        <v>Leve</v>
      </c>
      <c r="AB17" s="145">
        <f ca="1">IFERROR(IF(Q17="Impacto",(M17-(+M17*T17)),IF(Q17="Probabilidad",M17,"")),"")</f>
        <v>0.2</v>
      </c>
      <c r="AC17" s="147" t="str">
        <f ca="1">IFERROR(IF(OR(AND(Y17="Muy Baja",AA17="Leve"),AND(Y17="Muy Baja",AA17="Menor"),AND(Y17="Baja",AA17="Leve")),"Bajo",IF(OR(AND(Y17="Muy baja",AA17="Moderado"),AND(Y17="Baja",AA17="Menor"),AND(Y17="Baja",AA17="Moderado"),AND(Y17="Media",AA17="Leve"),AND(Y17="Media",AA17="Menor"),AND(Y17="Media",AA17="Moderado"),AND(Y17="Alta",AA17="Leve"),AND(Y17="Alta",AA17="Menor")),"Moderado",IF(OR(AND(Y17="Muy Baja",AA17="Mayor"),AND(Y17="Baja",AA17="Mayor"),AND(Y17="Media",AA17="Mayor"),AND(Y17="Alta",AA17="Moderado"),AND(Y17="Alta",AA17="Mayor"),AND(Y17="Muy Alta",AA17="Leve"),AND(Y17="Muy Alta",AA17="Menor"),AND(Y17="Muy Alta",AA17="Moderado"),AND(Y17="Muy Alta",AA17="Mayor")),"Alto",IF(OR(AND(Y17="Muy Baja",AA17="Catastrófico"),AND(Y17="Baja",AA17="Catastrófico"),AND(Y17="Media",AA17="Catastrófico"),AND(Y17="Alta",AA17="Catastrófico"),AND(Y17="Muy Alta",AA17="Catastrófico")),"Extremo","")))),"")</f>
        <v>Bajo</v>
      </c>
      <c r="AD17" s="144" t="s">
        <v>179</v>
      </c>
      <c r="AE17" s="152" t="s">
        <v>213</v>
      </c>
      <c r="AF17" s="151" t="s">
        <v>453</v>
      </c>
      <c r="AG17" s="164">
        <v>46055</v>
      </c>
      <c r="AH17" s="164">
        <v>46374</v>
      </c>
      <c r="AI17" s="164"/>
      <c r="AJ17" s="164"/>
      <c r="AK17" s="164"/>
      <c r="AL17" s="164"/>
      <c r="AM17" s="164"/>
      <c r="AN17" s="164"/>
      <c r="AO17" s="164"/>
      <c r="AP17" s="164"/>
      <c r="AQ17" s="151"/>
      <c r="AR17" s="151"/>
      <c r="AS17" s="88"/>
      <c r="AT17" s="88"/>
      <c r="AU17" s="88"/>
      <c r="AV17" s="88"/>
      <c r="AW17" s="88"/>
      <c r="AX17" s="88"/>
      <c r="AY17" s="88"/>
      <c r="AZ17" s="88"/>
      <c r="BA17" s="88"/>
      <c r="BB17" s="88"/>
      <c r="BC17" s="88"/>
      <c r="BD17" s="88"/>
      <c r="BE17" s="88"/>
      <c r="BF17" s="88"/>
      <c r="BG17" s="88"/>
      <c r="BH17" s="88"/>
      <c r="BI17" s="88"/>
      <c r="BJ17" s="88"/>
      <c r="BK17" s="88"/>
    </row>
    <row r="18" spans="1:63" s="89" customFormat="1" ht="75" customHeight="1" x14ac:dyDescent="0.25">
      <c r="A18" s="241"/>
      <c r="B18" s="242"/>
      <c r="C18" s="243"/>
      <c r="D18" s="243"/>
      <c r="E18" s="259"/>
      <c r="F18" s="243"/>
      <c r="G18" s="260"/>
      <c r="H18" s="233"/>
      <c r="I18" s="234"/>
      <c r="J18" s="236"/>
      <c r="K18" s="234">
        <f ca="1">IF(NOT(ISERROR(MATCH(J18,_xlfn.ANCHORARRAY(E21),0))),#REF!&amp;"Por favor no seleccionar los criterios de impacto",J18)</f>
        <v>0</v>
      </c>
      <c r="L18" s="233"/>
      <c r="M18" s="234"/>
      <c r="N18" s="235"/>
      <c r="O18" s="136">
        <v>2</v>
      </c>
      <c r="P18" s="97"/>
      <c r="Q18" s="148" t="str">
        <f t="shared" si="14"/>
        <v/>
      </c>
      <c r="R18" s="144"/>
      <c r="S18" s="144"/>
      <c r="T18" s="145" t="str">
        <f t="shared" ref="T18" si="20">IF(AND(R18="Preventivo",S18="Automático"),"50%",IF(AND(R18="Preventivo",S18="Manual"),"40%",IF(AND(R18="Detectivo",S18="Automático"),"40%",IF(AND(R18="Detectivo",S18="Manual"),"30%",IF(AND(R18="Correctivo",S18="Automático"),"35%",IF(AND(R18="Correctivo",S18="Manual"),"25%",""))))))</f>
        <v/>
      </c>
      <c r="U18" s="144"/>
      <c r="V18" s="144"/>
      <c r="W18" s="144"/>
      <c r="X18" s="146" t="str">
        <f>IFERROR(IF(AND(Q17="Probabilidad",Q18="Probabilidad"),(Z17-(+Z17*T18)),IF(Q18="Probabilidad",(I17-(+I17*T18)),IF(Q18="Impacto",Z17,""))),"")</f>
        <v/>
      </c>
      <c r="Y18" s="142" t="str">
        <f t="shared" si="4"/>
        <v/>
      </c>
      <c r="Z18" s="145" t="str">
        <f t="shared" ref="Z18" si="21">+X18</f>
        <v/>
      </c>
      <c r="AA18" s="142" t="str">
        <f t="shared" si="6"/>
        <v/>
      </c>
      <c r="AB18" s="145" t="str">
        <f>IFERROR(IF(AND(Q17="Impacto",Q18="Impacto"),(AB17-(+AB17*T18)),IF(Q18="Impacto",(M17-(+M17*T18)),IF(Q18="Probabilidad",AB17,""))),"")</f>
        <v/>
      </c>
      <c r="AC18" s="147" t="str">
        <f t="shared" ref="AC18" si="22">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44"/>
      <c r="AE18" s="152" t="s">
        <v>374</v>
      </c>
      <c r="AF18" s="151" t="s">
        <v>453</v>
      </c>
      <c r="AG18" s="164">
        <v>46055</v>
      </c>
      <c r="AH18" s="164">
        <v>46374</v>
      </c>
      <c r="AI18" s="164"/>
      <c r="AJ18" s="164"/>
      <c r="AK18" s="164"/>
      <c r="AL18" s="164"/>
      <c r="AM18" s="164"/>
      <c r="AN18" s="164"/>
      <c r="AO18" s="164"/>
      <c r="AP18" s="164"/>
      <c r="AQ18" s="151"/>
      <c r="AR18" s="151"/>
      <c r="AS18" s="88"/>
      <c r="AT18" s="88"/>
      <c r="AU18" s="88"/>
      <c r="AV18" s="88"/>
      <c r="AW18" s="88"/>
      <c r="AX18" s="88"/>
      <c r="AY18" s="88"/>
      <c r="AZ18" s="88"/>
      <c r="BA18" s="88"/>
      <c r="BB18" s="88"/>
      <c r="BC18" s="88"/>
      <c r="BD18" s="88"/>
      <c r="BE18" s="88"/>
      <c r="BF18" s="88"/>
      <c r="BG18" s="88"/>
      <c r="BH18" s="88"/>
      <c r="BI18" s="88"/>
      <c r="BJ18" s="88"/>
      <c r="BK18" s="88"/>
    </row>
    <row r="19" spans="1:63" s="89" customFormat="1" ht="115.5" customHeight="1" x14ac:dyDescent="0.25">
      <c r="A19" s="241">
        <v>5</v>
      </c>
      <c r="B19" s="242" t="s">
        <v>214</v>
      </c>
      <c r="C19" s="243" t="s">
        <v>182</v>
      </c>
      <c r="D19" s="243" t="s">
        <v>421</v>
      </c>
      <c r="E19" s="259" t="s">
        <v>216</v>
      </c>
      <c r="F19" s="243" t="s">
        <v>191</v>
      </c>
      <c r="G19" s="260">
        <v>60</v>
      </c>
      <c r="H19" s="233" t="str">
        <f t="shared" ref="H19" si="23">IF(G19&lt;=0,"",IF(G19&lt;=2,"Muy Baja",IF(G19&lt;=24,"Baja",IF(G19&lt;=500,"Media",IF(G19&lt;=5000,"Alta","Muy Alta")))))</f>
        <v>Media</v>
      </c>
      <c r="I19" s="234">
        <f>IF(H19="","",IF(H19="Muy Baja",0.2,IF(H19="Baja",0.4,IF(H19="Media",0.6,IF(H19="Alta",0.8,IF(H19="Muy Alta",1,))))))</f>
        <v>0.6</v>
      </c>
      <c r="J19" s="236" t="s">
        <v>136</v>
      </c>
      <c r="K19" s="234" t="str">
        <f ca="1">IF(NOT(ISERROR(MATCH(J19,'Tabla Impacto'!$B$221:$B$223,0))),'Tabla Impacto'!$F$223&amp;"Por favor no seleccionar los criterios de impacto(Afectación Económica o presupuestal y Pérdida Reputacional)",J19)</f>
        <v xml:space="preserve">     El riesgo afecta la imagen de la entidad con algunos usuarios de relevancia frente al logro de los objetivos</v>
      </c>
      <c r="L19" s="233" t="str">
        <f ca="1">IF(OR(K19='Tabla Impacto'!$C$11,K19='Tabla Impacto'!$D$11),"Leve",IF(OR(K19='Tabla Impacto'!$C$12,K19='Tabla Impacto'!$D$12),"Menor",IF(OR(K19='Tabla Impacto'!$C$13,K19='Tabla Impacto'!$D$13),"Moderado",IF(OR(K19='Tabla Impacto'!$C$14,K19='Tabla Impacto'!$D$14),"Mayor",IF(OR(K19='Tabla Impacto'!$C$15,K19='Tabla Impacto'!$D$15),"Catastrófico","")))))</f>
        <v>Moderado</v>
      </c>
      <c r="M19" s="234">
        <f ca="1">IF(L19="","",IF(L19="Leve",0.2,IF(L19="Menor",0.4,IF(L19="Moderado",0.6,IF(L19="Mayor",0.8,IF(L19="Catastrófico",1,))))))</f>
        <v>0.6</v>
      </c>
      <c r="N19" s="235" t="str">
        <f t="shared" ref="N19" ca="1" si="24">IF(OR(AND(H19="Muy Baja",L19="Leve"),AND(H19="Muy Baja",L19="Menor"),AND(H19="Baja",L19="Leve")),"Bajo",IF(OR(AND(H19="Muy baja",L19="Moderado"),AND(H19="Baja",L19="Menor"),AND(H19="Baja",L19="Moderado"),AND(H19="Media",L19="Leve"),AND(H19="Media",L19="Menor"),AND(H19="Media",L19="Moderado"),AND(H19="Alta",L19="Leve"),AND(H19="Alta",L19="Menor")),"Moderado",IF(OR(AND(H19="Muy Baja",L19="Mayor"),AND(H19="Baja",L19="Mayor"),AND(H19="Media",L19="Mayor"),AND(H19="Alta",L19="Moderado"),AND(H19="Alta",L19="Mayor"),AND(H19="Muy Alta",L19="Leve"),AND(H19="Muy Alta",L19="Menor"),AND(H19="Muy Alta",L19="Moderado"),AND(H19="Muy Alta",L19="Mayor")),"Alto",IF(OR(AND(H19="Muy Baja",L19="Catastrófico"),AND(H19="Baja",L19="Catastrófico"),AND(H19="Media",L19="Catastrófico"),AND(H19="Alta",L19="Catastrófico"),AND(H19="Muy Alta",L19="Catastrófico")),"Extremo",""))))</f>
        <v>Moderado</v>
      </c>
      <c r="O19" s="136">
        <v>1</v>
      </c>
      <c r="P19" s="97" t="s">
        <v>418</v>
      </c>
      <c r="Q19" s="148" t="str">
        <f t="shared" si="14"/>
        <v>Probabilidad</v>
      </c>
      <c r="R19" s="144" t="s">
        <v>152</v>
      </c>
      <c r="S19" s="144" t="s">
        <v>160</v>
      </c>
      <c r="T19" s="145" t="str">
        <f>IF(AND(R19="Preventivo",S19="Automático"),"50%",IF(AND(R19="Preventivo",S19="Manual"),"40%",IF(AND(R19="Detectivo",S19="Automático"),"40%",IF(AND(R19="Detectivo",S19="Manual"),"30%",IF(AND(R19="Correctivo",S19="Automático"),"35%",IF(AND(R19="Correctivo",S19="Manual"),"25%",""))))))</f>
        <v>40%</v>
      </c>
      <c r="U19" s="144" t="s">
        <v>163</v>
      </c>
      <c r="V19" s="144" t="s">
        <v>168</v>
      </c>
      <c r="W19" s="144" t="s">
        <v>172</v>
      </c>
      <c r="X19" s="146">
        <f>IFERROR(IF(Q19="Probabilidad",(I19-(+I19*T19)),IF(Q19="Impacto",I19,"")),"")</f>
        <v>0.36</v>
      </c>
      <c r="Y19" s="142" t="str">
        <f>IFERROR(IF(X19="","",IF(X19&lt;=0.2,"Muy Baja",IF(X19&lt;=0.4,"Baja",IF(X19&lt;=0.6,"Media",IF(X19&lt;=0.8,"Alta","Muy Alta"))))),"")</f>
        <v>Baja</v>
      </c>
      <c r="Z19" s="145">
        <f>+X19</f>
        <v>0.36</v>
      </c>
      <c r="AA19" s="142" t="str">
        <f ca="1">IFERROR(IF(AB19="","",IF(AB19&lt;=0.2,"Leve",IF(AB19&lt;=0.4,"Menor",IF(AB19&lt;=0.6,"Moderado",IF(AB19&lt;=0.8,"Mayor","Catastrófico"))))),"")</f>
        <v>Moderado</v>
      </c>
      <c r="AB19" s="145">
        <f ca="1">IFERROR(IF(Q19="Impacto",(M19-(+M19*T19)),IF(Q19="Probabilidad",M19,"")),"")</f>
        <v>0.6</v>
      </c>
      <c r="AC19" s="147" t="str">
        <f ca="1">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Moderado</v>
      </c>
      <c r="AD19" s="144" t="s">
        <v>179</v>
      </c>
      <c r="AE19" s="152" t="s">
        <v>409</v>
      </c>
      <c r="AF19" s="151" t="s">
        <v>434</v>
      </c>
      <c r="AG19" s="164">
        <v>46055</v>
      </c>
      <c r="AH19" s="164">
        <v>46374</v>
      </c>
      <c r="AI19" s="164"/>
      <c r="AJ19" s="164"/>
      <c r="AK19" s="164"/>
      <c r="AL19" s="164"/>
      <c r="AM19" s="164"/>
      <c r="AN19" s="164"/>
      <c r="AO19" s="164"/>
      <c r="AP19" s="164"/>
      <c r="AQ19" s="151"/>
      <c r="AR19" s="151"/>
      <c r="AS19" s="88"/>
      <c r="AT19" s="88"/>
      <c r="AU19" s="88"/>
      <c r="AV19" s="88"/>
      <c r="AW19" s="88"/>
      <c r="AX19" s="88"/>
      <c r="AY19" s="88"/>
      <c r="AZ19" s="88"/>
      <c r="BA19" s="88"/>
      <c r="BB19" s="88"/>
      <c r="BC19" s="88"/>
      <c r="BD19" s="88"/>
      <c r="BE19" s="88"/>
      <c r="BF19" s="88"/>
      <c r="BG19" s="88"/>
      <c r="BH19" s="88"/>
      <c r="BI19" s="88"/>
      <c r="BJ19" s="88"/>
      <c r="BK19" s="88"/>
    </row>
    <row r="20" spans="1:63" s="89" customFormat="1" ht="119.25" customHeight="1" x14ac:dyDescent="0.25">
      <c r="A20" s="241"/>
      <c r="B20" s="242"/>
      <c r="C20" s="243"/>
      <c r="D20" s="243"/>
      <c r="E20" s="259"/>
      <c r="F20" s="243"/>
      <c r="G20" s="260"/>
      <c r="H20" s="233"/>
      <c r="I20" s="234"/>
      <c r="J20" s="236"/>
      <c r="K20" s="234">
        <f ca="1">IF(NOT(ISERROR(MATCH(J20,_xlfn.ANCHORARRAY(E23),0))),I25&amp;"Por favor no seleccionar los criterios de impacto",J20)</f>
        <v>0</v>
      </c>
      <c r="L20" s="233"/>
      <c r="M20" s="234"/>
      <c r="N20" s="235"/>
      <c r="O20" s="136">
        <v>2</v>
      </c>
      <c r="P20" s="97" t="s">
        <v>218</v>
      </c>
      <c r="Q20" s="148" t="str">
        <f t="shared" si="14"/>
        <v>Probabilidad</v>
      </c>
      <c r="R20" s="144" t="s">
        <v>152</v>
      </c>
      <c r="S20" s="144" t="s">
        <v>160</v>
      </c>
      <c r="T20" s="145" t="str">
        <f>IF(AND(R20="Preventivo",S20="Automático"),"50%",IF(AND(R20="Preventivo",S20="Manual"),"40%",IF(AND(R20="Detectivo",S20="Automático"),"40%",IF(AND(R20="Detectivo",S20="Manual"),"30%",IF(AND(R20="Correctivo",S20="Automático"),"35%",IF(AND(R20="Correctivo",S20="Manual"),"25%",""))))))</f>
        <v>40%</v>
      </c>
      <c r="U20" s="144" t="s">
        <v>163</v>
      </c>
      <c r="V20" s="144" t="s">
        <v>168</v>
      </c>
      <c r="W20" s="144" t="s">
        <v>172</v>
      </c>
      <c r="X20" s="146">
        <f>IFERROR(IF(Q20="Probabilidad",(I20-(+I20*T20)),IF(Q20="Impacto",I20,"")),"")</f>
        <v>0</v>
      </c>
      <c r="Y20" s="142" t="str">
        <f>IFERROR(IF(X20="","",IF(X20&lt;=0.2,"Muy Baja",IF(X20&lt;=0.4,"Baja",IF(X20&lt;=0.6,"Media",IF(X20&lt;=0.8,"Alta","Muy Alta"))))),"")</f>
        <v>Muy Baja</v>
      </c>
      <c r="Z20" s="145">
        <f>+X20</f>
        <v>0</v>
      </c>
      <c r="AA20" s="142" t="str">
        <f>IFERROR(IF(AB20="","",IF(AB20&lt;=0.2,"Leve",IF(AB20&lt;=0.4,"Menor",IF(AB20&lt;=0.6,"Moderado",IF(AB20&lt;=0.8,"Mayor","Catastrófico"))))),"")</f>
        <v>Leve</v>
      </c>
      <c r="AB20" s="145">
        <f>IFERROR(IF(Q20="Impacto",(M20-(+M20*T20)),IF(Q20="Probabilidad",M20,"")),"")</f>
        <v>0</v>
      </c>
      <c r="AC20" s="147" t="str">
        <f>IFERROR(IF(OR(AND(Y20="Muy Baja",AA20="Leve"),AND(Y20="Muy Baja",AA20="Menor"),AND(Y20="Baja",AA20="Leve")),"Bajo",IF(OR(AND(Y20="Muy baja",AA20="Moderado"),AND(Y20="Baja",AA20="Menor"),AND(Y20="Baja",AA20="Moderado"),AND(Y20="Media",AA20="Leve"),AND(Y20="Media",AA20="Menor"),AND(Y20="Media",AA20="Moderado"),AND(Y20="Alta",AA20="Leve"),AND(Y20="Alta",AA20="Menor")),"Moderado",IF(OR(AND(Y20="Muy Baja",AA20="Mayor"),AND(Y20="Baja",AA20="Mayor"),AND(Y20="Media",AA20="Mayor"),AND(Y20="Alta",AA20="Moderado"),AND(Y20="Alta",AA20="Mayor"),AND(Y20="Muy Alta",AA20="Leve"),AND(Y20="Muy Alta",AA20="Menor"),AND(Y20="Muy Alta",AA20="Moderado"),AND(Y20="Muy Alta",AA20="Mayor")),"Alto",IF(OR(AND(Y20="Muy Baja",AA20="Catastrófico"),AND(Y20="Baja",AA20="Catastrófico"),AND(Y20="Media",AA20="Catastrófico"),AND(Y20="Alta",AA20="Catastrófico"),AND(Y20="Muy Alta",AA20="Catastrófico")),"Extremo","")))),"")</f>
        <v>Bajo</v>
      </c>
      <c r="AD20" s="144" t="s">
        <v>179</v>
      </c>
      <c r="AE20" s="152" t="s">
        <v>219</v>
      </c>
      <c r="AF20" s="151" t="s">
        <v>434</v>
      </c>
      <c r="AG20" s="164">
        <v>46055</v>
      </c>
      <c r="AH20" s="164">
        <v>46374</v>
      </c>
      <c r="AI20" s="164"/>
      <c r="AJ20" s="164"/>
      <c r="AK20" s="164"/>
      <c r="AL20" s="164"/>
      <c r="AM20" s="164"/>
      <c r="AN20" s="164"/>
      <c r="AO20" s="164"/>
      <c r="AP20" s="164"/>
      <c r="AQ20" s="151"/>
      <c r="AR20" s="151"/>
      <c r="AS20" s="88"/>
      <c r="AT20" s="88"/>
      <c r="AU20" s="88"/>
      <c r="AV20" s="88"/>
      <c r="AW20" s="88"/>
      <c r="AX20" s="88"/>
      <c r="AY20" s="88"/>
      <c r="AZ20" s="88"/>
      <c r="BA20" s="88"/>
      <c r="BB20" s="88"/>
      <c r="BC20" s="88"/>
      <c r="BD20" s="88"/>
      <c r="BE20" s="88"/>
      <c r="BF20" s="88"/>
      <c r="BG20" s="88"/>
      <c r="BH20" s="88"/>
      <c r="BI20" s="88"/>
      <c r="BJ20" s="88"/>
      <c r="BK20" s="88"/>
    </row>
    <row r="21" spans="1:63" s="89" customFormat="1" ht="122.25" customHeight="1" x14ac:dyDescent="0.25">
      <c r="A21" s="241">
        <v>6</v>
      </c>
      <c r="B21" s="242" t="s">
        <v>214</v>
      </c>
      <c r="C21" s="243" t="s">
        <v>182</v>
      </c>
      <c r="D21" s="243" t="s">
        <v>217</v>
      </c>
      <c r="E21" s="244" t="s">
        <v>215</v>
      </c>
      <c r="F21" s="243" t="s">
        <v>191</v>
      </c>
      <c r="G21" s="245">
        <v>5000</v>
      </c>
      <c r="H21" s="233" t="str">
        <f>IF(G21&lt;=0,"",IF(G21&lt;=2,"Muy Baja",IF(G21&lt;=24,"Baja",IF(G21&lt;=500,"Media",IF(G21&lt;=5000,"Alta","Muy Alta")))))</f>
        <v>Alta</v>
      </c>
      <c r="I21" s="234">
        <f>IF(H21="","",IF(H21="Muy Baja",0.2,IF(H21="Baja",0.4,IF(H21="Media",0.6,IF(H21="Alta",0.8,IF(H21="Muy Alta",1,))))))</f>
        <v>0.8</v>
      </c>
      <c r="J21" s="236" t="s">
        <v>133</v>
      </c>
      <c r="K21" s="234" t="str">
        <f ca="1">IF(NOT(ISERROR(MATCH(J21,'Tabla Impacto'!$B$221:$B$223,0))),'Tabla Impacto'!$F$223&amp;"Por favor no seleccionar los criterios de impacto(Afectación Económica o presupuestal y Pérdida Reputacional)",J21)</f>
        <v xml:space="preserve">     Entre 10 y 50 SMLMV </v>
      </c>
      <c r="L21" s="233" t="str">
        <f ca="1">IF(OR(K21='Tabla Impacto'!$C$11,K21='Tabla Impacto'!$D$11),"Leve",IF(OR(K21='Tabla Impacto'!$C$12,K21='Tabla Impacto'!$D$12),"Menor",IF(OR(K21='Tabla Impacto'!$C$13,K21='Tabla Impacto'!$D$13),"Moderado",IF(OR(K21='Tabla Impacto'!$C$14,K21='Tabla Impacto'!$D$14),"Mayor",IF(OR(K21='Tabla Impacto'!$C$15,K21='Tabla Impacto'!$D$15),"Catastrófico","")))))</f>
        <v>Menor</v>
      </c>
      <c r="M21" s="234">
        <f ca="1">IF(L21="","",IF(L21="Leve",0.2,IF(L21="Menor",0.4,IF(L21="Moderado",0.6,IF(L21="Mayor",0.8,IF(L21="Catastrófico",1,))))))</f>
        <v>0.4</v>
      </c>
      <c r="N21" s="235" t="str">
        <f t="shared" ref="N21" ca="1" si="25">IF(OR(AND(H21="Muy Baja",L21="Leve"),AND(H21="Muy Baja",L21="Menor"),AND(H21="Baja",L21="Leve")),"Bajo",IF(OR(AND(H21="Muy baja",L21="Moderado"),AND(H21="Baja",L21="Menor"),AND(H21="Baja",L21="Moderado"),AND(H21="Media",L21="Leve"),AND(H21="Media",L21="Menor"),AND(H21="Media",L21="Moderado"),AND(H21="Alta",L21="Leve"),AND(H21="Alta",L21="Menor")),"Moderado",IF(OR(AND(H21="Muy Baja",L21="Mayor"),AND(H21="Baja",L21="Mayor"),AND(H21="Media",L21="Mayor"),AND(H21="Alta",L21="Moderado"),AND(H21="Alta",L21="Mayor"),AND(H21="Muy Alta",L21="Leve"),AND(H21="Muy Alta",L21="Menor"),AND(H21="Muy Alta",L21="Moderado"),AND(H21="Muy Alta",L21="Mayor")),"Alto",IF(OR(AND(H21="Muy Baja",L21="Catastrófico"),AND(H21="Baja",L21="Catastrófico"),AND(H21="Media",L21="Catastrófico"),AND(H21="Alta",L21="Catastrófico"),AND(H21="Muy Alta",L21="Catastrófico")),"Extremo",""))))</f>
        <v>Moderado</v>
      </c>
      <c r="O21" s="136">
        <v>1</v>
      </c>
      <c r="P21" s="97" t="s">
        <v>450</v>
      </c>
      <c r="Q21" s="148" t="str">
        <f t="shared" si="14"/>
        <v>Probabilidad</v>
      </c>
      <c r="R21" s="144" t="s">
        <v>152</v>
      </c>
      <c r="S21" s="144" t="s">
        <v>160</v>
      </c>
      <c r="T21" s="145" t="str">
        <f>IF(AND(R21="Preventivo",S21="Automático"),"50%",IF(AND(R21="Preventivo",S21="Manual"),"40%",IF(AND(R21="Detectivo",S21="Automático"),"40%",IF(AND(R21="Detectivo",S21="Manual"),"30%",IF(AND(R21="Correctivo",S21="Automático"),"35%",IF(AND(R21="Correctivo",S21="Manual"),"25%",""))))))</f>
        <v>40%</v>
      </c>
      <c r="U21" s="144" t="s">
        <v>163</v>
      </c>
      <c r="V21" s="144" t="s">
        <v>168</v>
      </c>
      <c r="W21" s="144" t="s">
        <v>172</v>
      </c>
      <c r="X21" s="146">
        <f>IFERROR(IF(Q21="Probabilidad",(I21-(+I21*T21)),IF(Q21="Impacto",I21,"")),"")</f>
        <v>0.48</v>
      </c>
      <c r="Y21" s="142" t="str">
        <f>IFERROR(IF(X21="","",IF(X21&lt;=0.2,"Muy Baja",IF(X21&lt;=0.4,"Baja",IF(X21&lt;=0.6,"Media",IF(X21&lt;=0.8,"Alta","Muy Alta"))))),"")</f>
        <v>Media</v>
      </c>
      <c r="Z21" s="145">
        <f>+X21</f>
        <v>0.48</v>
      </c>
      <c r="AA21" s="142" t="str">
        <f ca="1">IFERROR(IF(AB21="","",IF(AB21&lt;=0.2,"Leve",IF(AB21&lt;=0.4,"Menor",IF(AB21&lt;=0.6,"Moderado",IF(AB21&lt;=0.8,"Mayor","Catastrófico"))))),"")</f>
        <v>Menor</v>
      </c>
      <c r="AB21" s="145">
        <f ca="1">IFERROR(IF(Q21="Impacto",(M21-(+M21*T21)),IF(Q21="Probabilidad",M21,"")),"")</f>
        <v>0.4</v>
      </c>
      <c r="AC21" s="147" t="str">
        <f ca="1">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Moderado</v>
      </c>
      <c r="AD21" s="144" t="s">
        <v>179</v>
      </c>
      <c r="AE21" s="164" t="s">
        <v>451</v>
      </c>
      <c r="AF21" s="151" t="s">
        <v>434</v>
      </c>
      <c r="AG21" s="164">
        <v>46055</v>
      </c>
      <c r="AH21" s="164">
        <v>46374</v>
      </c>
      <c r="AI21" s="164"/>
      <c r="AJ21" s="164"/>
      <c r="AK21" s="164"/>
      <c r="AL21" s="164"/>
      <c r="AM21" s="164"/>
      <c r="AN21" s="164"/>
      <c r="AO21" s="164"/>
      <c r="AP21" s="164"/>
      <c r="AQ21" s="151"/>
      <c r="AR21" s="151"/>
      <c r="AS21" s="88"/>
      <c r="AT21" s="88"/>
      <c r="AU21" s="88"/>
      <c r="AV21" s="88"/>
      <c r="AW21" s="88"/>
      <c r="AX21" s="88"/>
      <c r="AY21" s="88"/>
      <c r="AZ21" s="88"/>
      <c r="BA21" s="88"/>
      <c r="BB21" s="88"/>
      <c r="BC21" s="88"/>
      <c r="BD21" s="88"/>
      <c r="BE21" s="88"/>
      <c r="BF21" s="88"/>
      <c r="BG21" s="88"/>
      <c r="BH21" s="88"/>
      <c r="BI21" s="88"/>
      <c r="BJ21" s="88"/>
      <c r="BK21" s="88"/>
    </row>
    <row r="22" spans="1:63" s="89" customFormat="1" ht="65.25" hidden="1" customHeight="1" x14ac:dyDescent="0.25">
      <c r="A22" s="241"/>
      <c r="B22" s="242"/>
      <c r="C22" s="243"/>
      <c r="D22" s="243"/>
      <c r="E22" s="244"/>
      <c r="F22" s="243"/>
      <c r="G22" s="245"/>
      <c r="H22" s="233"/>
      <c r="I22" s="234"/>
      <c r="J22" s="236"/>
      <c r="K22" s="234">
        <f ca="1">IF(NOT(ISERROR(MATCH(J22,_xlfn.ANCHORARRAY(E26),0))),#REF!&amp;"Por favor no seleccionar los criterios de impacto",J22)</f>
        <v>0</v>
      </c>
      <c r="L22" s="233"/>
      <c r="M22" s="234"/>
      <c r="N22" s="235"/>
      <c r="O22" s="136">
        <v>2</v>
      </c>
      <c r="P22" s="97"/>
      <c r="Q22" s="148" t="str">
        <f t="shared" si="14"/>
        <v/>
      </c>
      <c r="R22" s="144"/>
      <c r="S22" s="144"/>
      <c r="T22" s="145" t="str">
        <f t="shared" ref="T22" si="26">IF(AND(R22="Preventivo",S22="Automático"),"50%",IF(AND(R22="Preventivo",S22="Manual"),"40%",IF(AND(R22="Detectivo",S22="Automático"),"40%",IF(AND(R22="Detectivo",S22="Manual"),"30%",IF(AND(R22="Correctivo",S22="Automático"),"35%",IF(AND(R22="Correctivo",S22="Manual"),"25%",""))))))</f>
        <v/>
      </c>
      <c r="U22" s="144"/>
      <c r="V22" s="144"/>
      <c r="W22" s="144"/>
      <c r="X22" s="146" t="str">
        <f>IFERROR(IF(AND(Q21="Probabilidad",Q22="Probabilidad"),(Z21-(+Z21*T22)),IF(Q22="Probabilidad",(I21-(+I21*T22)),IF(Q22="Impacto",Z21,""))),"")</f>
        <v/>
      </c>
      <c r="Y22" s="142" t="str">
        <f t="shared" si="4"/>
        <v/>
      </c>
      <c r="Z22" s="145" t="str">
        <f t="shared" ref="Z22" si="27">+X22</f>
        <v/>
      </c>
      <c r="AA22" s="142" t="str">
        <f t="shared" si="6"/>
        <v/>
      </c>
      <c r="AB22" s="145" t="str">
        <f>IFERROR(IF(AND(Q21="Impacto",Q22="Impacto"),(AB21-(+AB21*T22)),IF(Q22="Impacto",(M21-(+M21*T22)),IF(Q22="Probabilidad",AB21,""))),"")</f>
        <v/>
      </c>
      <c r="AC22" s="147" t="str">
        <f t="shared" ref="AC22" si="28">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44"/>
      <c r="AE22" s="152"/>
      <c r="AF22" s="165"/>
      <c r="AG22" s="164">
        <v>46055</v>
      </c>
      <c r="AH22" s="164">
        <v>46374</v>
      </c>
      <c r="AI22" s="164"/>
      <c r="AJ22" s="164"/>
      <c r="AK22" s="164"/>
      <c r="AL22" s="164"/>
      <c r="AM22" s="164"/>
      <c r="AN22" s="164"/>
      <c r="AO22" s="164"/>
      <c r="AP22" s="164"/>
      <c r="AQ22" s="151"/>
      <c r="AR22" s="151"/>
      <c r="AS22" s="88"/>
      <c r="AT22" s="88"/>
      <c r="AU22" s="88"/>
      <c r="AV22" s="88"/>
      <c r="AW22" s="88"/>
      <c r="AX22" s="88"/>
      <c r="AY22" s="88"/>
      <c r="AZ22" s="88"/>
      <c r="BA22" s="88"/>
      <c r="BB22" s="88"/>
      <c r="BC22" s="88"/>
      <c r="BD22" s="88"/>
      <c r="BE22" s="88"/>
      <c r="BF22" s="88"/>
      <c r="BG22" s="88"/>
      <c r="BH22" s="88"/>
      <c r="BI22" s="88"/>
      <c r="BJ22" s="88"/>
      <c r="BK22" s="88"/>
    </row>
    <row r="23" spans="1:63" s="89" customFormat="1" ht="113.25" customHeight="1" x14ac:dyDescent="0.25">
      <c r="A23" s="241">
        <v>7</v>
      </c>
      <c r="B23" s="246" t="s">
        <v>375</v>
      </c>
      <c r="C23" s="243" t="s">
        <v>180</v>
      </c>
      <c r="D23" s="243" t="s">
        <v>221</v>
      </c>
      <c r="E23" s="244" t="s">
        <v>220</v>
      </c>
      <c r="F23" s="243" t="s">
        <v>370</v>
      </c>
      <c r="G23" s="245">
        <v>40</v>
      </c>
      <c r="H23" s="233" t="str">
        <f>IF(G23&lt;=0,"",IF(G23&lt;=2,"Muy Baja",IF(G23&lt;=24,"Baja",IF(G23&lt;=500,"Media",IF(G23&lt;=5000,"Alta","Muy Alta")))))</f>
        <v>Media</v>
      </c>
      <c r="I23" s="234">
        <f>IF(H23="","",IF(H23="Muy Baja",0.2,IF(H23="Baja",0.4,IF(H23="Media",0.6,IF(H23="Alta",0.8,IF(H23="Muy Alta",1,))))))</f>
        <v>0.6</v>
      </c>
      <c r="J23" s="236" t="s">
        <v>134</v>
      </c>
      <c r="K23" s="234" t="str">
        <f ca="1">IF(NOT(ISERROR(MATCH(J23,'Tabla Impacto'!$B$221:$B$223,0))),'Tabla Impacto'!$F$223&amp;"Por favor no seleccionar los criterios de impacto(Afectación Económica o presupuestal y Pérdida Reputacional)",J23)</f>
        <v xml:space="preserve">     El riesgo afecta la imagen de la entidad internamente, de conocimiento general, nivel interno, de junta dircetiva y accionistas y/o de provedores</v>
      </c>
      <c r="L23" s="233" t="str">
        <f ca="1">IF(OR(K23='Tabla Impacto'!$C$11,K23='Tabla Impacto'!$D$11),"Leve",IF(OR(K23='Tabla Impacto'!$C$12,K23='Tabla Impacto'!$D$12),"Menor",IF(OR(K23='Tabla Impacto'!$C$13,K23='Tabla Impacto'!$D$13),"Moderado",IF(OR(K23='Tabla Impacto'!$C$14,K23='Tabla Impacto'!$D$14),"Mayor",IF(OR(K23='Tabla Impacto'!$C$15,K23='Tabla Impacto'!$D$15),"Catastrófico","")))))</f>
        <v>Menor</v>
      </c>
      <c r="M23" s="234">
        <f ca="1">IF(L23="","",IF(L23="Leve",0.2,IF(L23="Menor",0.4,IF(L23="Moderado",0.6,IF(L23="Mayor",0.8,IF(L23="Catastrófico",1,))))))</f>
        <v>0.4</v>
      </c>
      <c r="N23" s="235" t="str">
        <f t="shared" ref="N23" ca="1" si="29">IF(OR(AND(H23="Muy Baja",L23="Leve"),AND(H23="Muy Baja",L23="Menor"),AND(H23="Baja",L23="Leve")),"Bajo",IF(OR(AND(H23="Muy baja",L23="Moderado"),AND(H23="Baja",L23="Menor"),AND(H23="Baja",L23="Moderado"),AND(H23="Media",L23="Leve"),AND(H23="Media",L23="Menor"),AND(H23="Media",L23="Moderado"),AND(H23="Alta",L23="Leve"),AND(H23="Alta",L23="Menor")),"Moderado",IF(OR(AND(H23="Muy Baja",L23="Mayor"),AND(H23="Baja",L23="Mayor"),AND(H23="Media",L23="Mayor"),AND(H23="Alta",L23="Moderado"),AND(H23="Alta",L23="Mayor"),AND(H23="Muy Alta",L23="Leve"),AND(H23="Muy Alta",L23="Menor"),AND(H23="Muy Alta",L23="Moderado"),AND(H23="Muy Alta",L23="Mayor")),"Alto",IF(OR(AND(H23="Muy Baja",L23="Catastrófico"),AND(H23="Baja",L23="Catastrófico"),AND(H23="Media",L23="Catastrófico"),AND(H23="Alta",L23="Catastrófico"),AND(H23="Muy Alta",L23="Catastrófico")),"Extremo",""))))</f>
        <v>Moderado</v>
      </c>
      <c r="O23" s="136">
        <v>1</v>
      </c>
      <c r="P23" s="97" t="s">
        <v>222</v>
      </c>
      <c r="Q23" s="148" t="str">
        <f t="shared" si="14"/>
        <v>Probabilidad</v>
      </c>
      <c r="R23" s="144" t="s">
        <v>152</v>
      </c>
      <c r="S23" s="144" t="s">
        <v>160</v>
      </c>
      <c r="T23" s="145" t="str">
        <f>IF(AND(R23="Preventivo",S23="Automático"),"50%",IF(AND(R23="Preventivo",S23="Manual"),"40%",IF(AND(R23="Detectivo",S23="Automático"),"40%",IF(AND(R23="Detectivo",S23="Manual"),"30%",IF(AND(R23="Correctivo",S23="Automático"),"35%",IF(AND(R23="Correctivo",S23="Manual"),"25%",""))))))</f>
        <v>40%</v>
      </c>
      <c r="U23" s="144" t="s">
        <v>163</v>
      </c>
      <c r="V23" s="144" t="s">
        <v>168</v>
      </c>
      <c r="W23" s="144" t="s">
        <v>172</v>
      </c>
      <c r="X23" s="146">
        <f>IFERROR(IF(Q23="Probabilidad",(I23-(+I23*T23)),IF(Q23="Impacto",I23,"")),"")</f>
        <v>0.36</v>
      </c>
      <c r="Y23" s="142" t="str">
        <f>IFERROR(IF(X23="","",IF(X23&lt;=0.2,"Muy Baja",IF(X23&lt;=0.4,"Baja",IF(X23&lt;=0.6,"Media",IF(X23&lt;=0.8,"Alta","Muy Alta"))))),"")</f>
        <v>Baja</v>
      </c>
      <c r="Z23" s="145">
        <f>+X23</f>
        <v>0.36</v>
      </c>
      <c r="AA23" s="142" t="str">
        <f ca="1">IFERROR(IF(AB23="","",IF(AB23&lt;=0.2,"Leve",IF(AB23&lt;=0.4,"Menor",IF(AB23&lt;=0.6,"Moderado",IF(AB23&lt;=0.8,"Mayor","Catastrófico"))))),"")</f>
        <v>Menor</v>
      </c>
      <c r="AB23" s="145">
        <f ca="1">IFERROR(IF(Q23="Impacto",(M23-(+M23*T23)),IF(Q23="Probabilidad",M23,"")),"")</f>
        <v>0.4</v>
      </c>
      <c r="AC23" s="147" t="str">
        <f ca="1">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Moderado</v>
      </c>
      <c r="AD23" s="144" t="s">
        <v>179</v>
      </c>
      <c r="AE23" s="152" t="s">
        <v>225</v>
      </c>
      <c r="AF23" s="151" t="s">
        <v>435</v>
      </c>
      <c r="AG23" s="164">
        <v>46055</v>
      </c>
      <c r="AH23" s="164">
        <v>46374</v>
      </c>
      <c r="AI23" s="164"/>
      <c r="AJ23" s="164"/>
      <c r="AK23" s="164"/>
      <c r="AL23" s="164"/>
      <c r="AM23" s="164"/>
      <c r="AN23" s="164"/>
      <c r="AO23" s="164"/>
      <c r="AP23" s="164"/>
      <c r="AQ23" s="151"/>
      <c r="AR23" s="151"/>
      <c r="AS23" s="88"/>
      <c r="AT23" s="88"/>
      <c r="AU23" s="88"/>
      <c r="AV23" s="88"/>
      <c r="AW23" s="88"/>
      <c r="AX23" s="88"/>
      <c r="AY23" s="88"/>
      <c r="AZ23" s="88"/>
      <c r="BA23" s="88"/>
      <c r="BB23" s="88"/>
      <c r="BC23" s="88"/>
      <c r="BD23" s="88"/>
      <c r="BE23" s="88"/>
      <c r="BF23" s="88"/>
      <c r="BG23" s="88"/>
      <c r="BH23" s="88"/>
      <c r="BI23" s="88"/>
      <c r="BJ23" s="88"/>
      <c r="BK23" s="88"/>
    </row>
    <row r="24" spans="1:63" s="89" customFormat="1" ht="102" customHeight="1" x14ac:dyDescent="0.25">
      <c r="A24" s="241"/>
      <c r="B24" s="246"/>
      <c r="C24" s="243"/>
      <c r="D24" s="243"/>
      <c r="E24" s="244"/>
      <c r="F24" s="243"/>
      <c r="G24" s="245"/>
      <c r="H24" s="233"/>
      <c r="I24" s="234"/>
      <c r="J24" s="236"/>
      <c r="K24" s="234">
        <f ca="1">IF(NOT(ISERROR(MATCH(J24,_xlfn.ANCHORARRAY(E27),0))),#REF!&amp;"Por favor no seleccionar los criterios de impacto",J24)</f>
        <v>0</v>
      </c>
      <c r="L24" s="233"/>
      <c r="M24" s="234"/>
      <c r="N24" s="235"/>
      <c r="O24" s="136">
        <v>2</v>
      </c>
      <c r="P24" s="97" t="s">
        <v>223</v>
      </c>
      <c r="Q24" s="148" t="str">
        <f t="shared" ref="Q24:Q25" si="30">IF(OR(R24="Preventivo",R24="Detectivo"),"Probabilidad",IF(R24="Correctivo","Impacto",""))</f>
        <v>Probabilidad</v>
      </c>
      <c r="R24" s="144" t="s">
        <v>152</v>
      </c>
      <c r="S24" s="144" t="s">
        <v>160</v>
      </c>
      <c r="T24" s="145" t="str">
        <f t="shared" ref="T24:T25" si="31">IF(AND(R24="Preventivo",S24="Automático"),"50%",IF(AND(R24="Preventivo",S24="Manual"),"40%",IF(AND(R24="Detectivo",S24="Automático"),"40%",IF(AND(R24="Detectivo",S24="Manual"),"30%",IF(AND(R24="Correctivo",S24="Automático"),"35%",IF(AND(R24="Correctivo",S24="Manual"),"25%",""))))))</f>
        <v>40%</v>
      </c>
      <c r="U24" s="144" t="s">
        <v>163</v>
      </c>
      <c r="V24" s="144" t="s">
        <v>168</v>
      </c>
      <c r="W24" s="144" t="s">
        <v>172</v>
      </c>
      <c r="X24" s="146">
        <f t="shared" ref="X24:X25" si="32">IFERROR(IF(Q24="Probabilidad",(I24-(+I24*T24)),IF(Q24="Impacto",I24,"")),"")</f>
        <v>0</v>
      </c>
      <c r="Y24" s="142" t="str">
        <f t="shared" ref="Y24:Y25" si="33">IFERROR(IF(X24="","",IF(X24&lt;=0.2,"Muy Baja",IF(X24&lt;=0.4,"Baja",IF(X24&lt;=0.6,"Media",IF(X24&lt;=0.8,"Alta","Muy Alta"))))),"")</f>
        <v>Muy Baja</v>
      </c>
      <c r="Z24" s="145">
        <f t="shared" ref="Z24:Z25" si="34">+X24</f>
        <v>0</v>
      </c>
      <c r="AA24" s="142" t="str">
        <f t="shared" ref="AA24:AA25" si="35">IFERROR(IF(AB24="","",IF(AB24&lt;=0.2,"Leve",IF(AB24&lt;=0.4,"Menor",IF(AB24&lt;=0.6,"Moderado",IF(AB24&lt;=0.8,"Mayor","Catastrófico"))))),"")</f>
        <v>Leve</v>
      </c>
      <c r="AB24" s="145">
        <f t="shared" ref="AB24:AB25" si="36">IFERROR(IF(Q24="Impacto",(M24-(+M24*T24)),IF(Q24="Probabilidad",M24,"")),"")</f>
        <v>0</v>
      </c>
      <c r="AC24" s="147" t="str">
        <f t="shared" ref="AC24:AC25" si="37">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Bajo</v>
      </c>
      <c r="AD24" s="144" t="s">
        <v>179</v>
      </c>
      <c r="AE24" s="152" t="s">
        <v>226</v>
      </c>
      <c r="AF24" s="151" t="s">
        <v>435</v>
      </c>
      <c r="AG24" s="164">
        <v>46055</v>
      </c>
      <c r="AH24" s="164">
        <v>46374</v>
      </c>
      <c r="AI24" s="164"/>
      <c r="AJ24" s="164"/>
      <c r="AK24" s="164"/>
      <c r="AL24" s="164"/>
      <c r="AM24" s="164"/>
      <c r="AN24" s="164"/>
      <c r="AO24" s="164"/>
      <c r="AP24" s="164"/>
      <c r="AQ24" s="151"/>
      <c r="AR24" s="151"/>
      <c r="AS24" s="88"/>
      <c r="AT24" s="88"/>
      <c r="AU24" s="88"/>
      <c r="AV24" s="88"/>
      <c r="AW24" s="88"/>
      <c r="AX24" s="88"/>
      <c r="AY24" s="88"/>
      <c r="AZ24" s="88"/>
      <c r="BA24" s="88"/>
      <c r="BB24" s="88"/>
      <c r="BC24" s="88"/>
      <c r="BD24" s="88"/>
      <c r="BE24" s="88"/>
      <c r="BF24" s="88"/>
      <c r="BG24" s="88"/>
      <c r="BH24" s="88"/>
      <c r="BI24" s="88"/>
      <c r="BJ24" s="88"/>
      <c r="BK24" s="88"/>
    </row>
    <row r="25" spans="1:63" s="89" customFormat="1" ht="95.25" customHeight="1" x14ac:dyDescent="0.25">
      <c r="A25" s="241"/>
      <c r="B25" s="246"/>
      <c r="C25" s="243"/>
      <c r="D25" s="243"/>
      <c r="E25" s="244"/>
      <c r="F25" s="243"/>
      <c r="G25" s="245"/>
      <c r="H25" s="233"/>
      <c r="I25" s="234"/>
      <c r="J25" s="236"/>
      <c r="K25" s="234">
        <f ca="1">IF(NOT(ISERROR(MATCH(J25,_xlfn.ANCHORARRAY(#REF!),0))),#REF!&amp;"Por favor no seleccionar los criterios de impacto",J25)</f>
        <v>0</v>
      </c>
      <c r="L25" s="233"/>
      <c r="M25" s="234"/>
      <c r="N25" s="235"/>
      <c r="O25" s="136">
        <v>3</v>
      </c>
      <c r="P25" s="143" t="s">
        <v>224</v>
      </c>
      <c r="Q25" s="148" t="str">
        <f t="shared" si="30"/>
        <v>Probabilidad</v>
      </c>
      <c r="R25" s="144" t="s">
        <v>152</v>
      </c>
      <c r="S25" s="144" t="s">
        <v>160</v>
      </c>
      <c r="T25" s="145" t="str">
        <f t="shared" si="31"/>
        <v>40%</v>
      </c>
      <c r="U25" s="144" t="s">
        <v>163</v>
      </c>
      <c r="V25" s="144" t="s">
        <v>168</v>
      </c>
      <c r="W25" s="144" t="s">
        <v>172</v>
      </c>
      <c r="X25" s="146">
        <f t="shared" si="32"/>
        <v>0</v>
      </c>
      <c r="Y25" s="142" t="str">
        <f t="shared" si="33"/>
        <v>Muy Baja</v>
      </c>
      <c r="Z25" s="145">
        <f t="shared" si="34"/>
        <v>0</v>
      </c>
      <c r="AA25" s="142" t="str">
        <f t="shared" si="35"/>
        <v>Leve</v>
      </c>
      <c r="AB25" s="145">
        <f t="shared" si="36"/>
        <v>0</v>
      </c>
      <c r="AC25" s="147" t="str">
        <f t="shared" si="37"/>
        <v>Bajo</v>
      </c>
      <c r="AD25" s="144" t="s">
        <v>179</v>
      </c>
      <c r="AE25" s="152" t="s">
        <v>227</v>
      </c>
      <c r="AF25" s="151" t="s">
        <v>435</v>
      </c>
      <c r="AG25" s="164">
        <v>46055</v>
      </c>
      <c r="AH25" s="164">
        <v>46374</v>
      </c>
      <c r="AI25" s="164"/>
      <c r="AJ25" s="164"/>
      <c r="AK25" s="164"/>
      <c r="AL25" s="164"/>
      <c r="AM25" s="164"/>
      <c r="AN25" s="164"/>
      <c r="AO25" s="164"/>
      <c r="AP25" s="164"/>
      <c r="AQ25" s="151"/>
      <c r="AR25" s="151"/>
      <c r="AS25" s="88"/>
      <c r="AT25" s="88"/>
      <c r="AU25" s="88"/>
      <c r="AV25" s="88"/>
      <c r="AW25" s="88"/>
      <c r="AX25" s="88"/>
      <c r="AY25" s="88"/>
      <c r="AZ25" s="88"/>
      <c r="BA25" s="88"/>
      <c r="BB25" s="88"/>
      <c r="BC25" s="88"/>
      <c r="BD25" s="88"/>
      <c r="BE25" s="88"/>
      <c r="BF25" s="88"/>
      <c r="BG25" s="88"/>
      <c r="BH25" s="88"/>
      <c r="BI25" s="88"/>
      <c r="BJ25" s="88"/>
      <c r="BK25" s="88"/>
    </row>
    <row r="26" spans="1:63" s="89" customFormat="1" ht="192" customHeight="1" x14ac:dyDescent="0.25">
      <c r="A26" s="157">
        <v>8</v>
      </c>
      <c r="B26" s="161" t="s">
        <v>199</v>
      </c>
      <c r="C26" s="158" t="s">
        <v>182</v>
      </c>
      <c r="D26" s="158" t="s">
        <v>229</v>
      </c>
      <c r="E26" s="160" t="s">
        <v>228</v>
      </c>
      <c r="F26" s="158" t="s">
        <v>370</v>
      </c>
      <c r="G26" s="159">
        <v>40</v>
      </c>
      <c r="H26" s="155" t="str">
        <f>IF(G26&lt;=0,"",IF(G26&lt;=2,"Muy Baja",IF(G26&lt;=24,"Baja",IF(G26&lt;=500,"Media",IF(G26&lt;=5000,"Alta","Muy Alta")))))</f>
        <v>Media</v>
      </c>
      <c r="I26" s="137">
        <f>IF(H26="","",IF(H26="Muy Baja",0.2,IF(H26="Baja",0.4,IF(H26="Media",0.6,IF(H26="Alta",0.8,IF(H26="Muy Alta",1,))))))</f>
        <v>0.6</v>
      </c>
      <c r="J26" s="156" t="s">
        <v>138</v>
      </c>
      <c r="K26" s="137" t="str">
        <f ca="1">IF(NOT(ISERROR(MATCH(J26,'Tabla Impacto'!$B$221:$B$223,0))),'Tabla Impacto'!$F$223&amp;"Por favor no seleccionar los criterios de impacto(Afectación Económica o presupuestal y Pérdida Reputacional)",J26)</f>
        <v xml:space="preserve">     El riesgo afecta la imagen de de la entidad con efecto publicitario sostenido a nivel de sector administrativo, nivel departamental o municipal</v>
      </c>
      <c r="L26" s="155" t="str">
        <f ca="1">IF(OR(K26='Tabla Impacto'!$C$11,K26='Tabla Impacto'!$D$11),"Leve",IF(OR(K26='Tabla Impacto'!$C$12,K26='Tabla Impacto'!$D$12),"Menor",IF(OR(K26='Tabla Impacto'!$C$13,K26='Tabla Impacto'!$D$13),"Moderado",IF(OR(K26='Tabla Impacto'!$C$14,K26='Tabla Impacto'!$D$14),"Mayor",IF(OR(K26='Tabla Impacto'!$C$15,K26='Tabla Impacto'!$D$15),"Catastrófico","")))))</f>
        <v>Mayor</v>
      </c>
      <c r="M26" s="137">
        <f ca="1">IF(L26="","",IF(L26="Leve",0.2,IF(L26="Menor",0.4,IF(L26="Moderado",0.6,IF(L26="Mayor",0.8,IF(L26="Catastrófico",1,))))))</f>
        <v>0.8</v>
      </c>
      <c r="N26" s="154" t="str">
        <f t="shared" ref="N26" ca="1" si="38">IF(OR(AND(H26="Muy Baja",L26="Leve"),AND(H26="Muy Baja",L26="Menor"),AND(H26="Baja",L26="Leve")),"Bajo",IF(OR(AND(H26="Muy baja",L26="Moderado"),AND(H26="Baja",L26="Menor"),AND(H26="Baja",L26="Moderado"),AND(H26="Media",L26="Leve"),AND(H26="Media",L26="Menor"),AND(H26="Media",L26="Moderado"),AND(H26="Alta",L26="Leve"),AND(H26="Alta",L26="Menor")),"Moderado",IF(OR(AND(H26="Muy Baja",L26="Mayor"),AND(H26="Baja",L26="Mayor"),AND(H26="Media",L26="Mayor"),AND(H26="Alta",L26="Moderado"),AND(H26="Alta",L26="Mayor"),AND(H26="Muy Alta",L26="Leve"),AND(H26="Muy Alta",L26="Menor"),AND(H26="Muy Alta",L26="Moderado"),AND(H26="Muy Alta",L26="Mayor")),"Alto",IF(OR(AND(H26="Muy Baja",L26="Catastrófico"),AND(H26="Baja",L26="Catastrófico"),AND(H26="Media",L26="Catastrófico"),AND(H26="Alta",L26="Catastrófico"),AND(H26="Muy Alta",L26="Catastrófico")),"Extremo",""))))</f>
        <v>Alto</v>
      </c>
      <c r="O26" s="136">
        <v>1</v>
      </c>
      <c r="P26" s="97" t="s">
        <v>232</v>
      </c>
      <c r="Q26" s="148" t="str">
        <f>IF(OR(R26="Preventivo",R26="Detectivo"),"Probabilidad",IF(R26="Correctivo","Impacto",""))</f>
        <v>Probabilidad</v>
      </c>
      <c r="R26" s="144" t="s">
        <v>152</v>
      </c>
      <c r="S26" s="144" t="s">
        <v>160</v>
      </c>
      <c r="T26" s="145" t="str">
        <f>IF(AND(R26="Preventivo",S26="Automático"),"50%",IF(AND(R26="Preventivo",S26="Manual"),"40%",IF(AND(R26="Detectivo",S26="Automático"),"40%",IF(AND(R26="Detectivo",S26="Manual"),"30%",IF(AND(R26="Correctivo",S26="Automático"),"35%",IF(AND(R26="Correctivo",S26="Manual"),"25%",""))))))</f>
        <v>40%</v>
      </c>
      <c r="U26" s="144" t="s">
        <v>163</v>
      </c>
      <c r="V26" s="144" t="s">
        <v>168</v>
      </c>
      <c r="W26" s="144" t="s">
        <v>172</v>
      </c>
      <c r="X26" s="146">
        <f>IFERROR(IF(Q26="Probabilidad",(I26-(+I26*T26)),IF(Q26="Impacto",I26,"")),"")</f>
        <v>0.36</v>
      </c>
      <c r="Y26" s="142" t="str">
        <f>IFERROR(IF(X26="","",IF(X26&lt;=0.2,"Muy Baja",IF(X26&lt;=0.4,"Baja",IF(X26&lt;=0.6,"Media",IF(X26&lt;=0.8,"Alta","Muy Alta"))))),"")</f>
        <v>Baja</v>
      </c>
      <c r="Z26" s="145">
        <f>+X26</f>
        <v>0.36</v>
      </c>
      <c r="AA26" s="142" t="str">
        <f ca="1">IFERROR(IF(AB26="","",IF(AB26&lt;=0.2,"Leve",IF(AB26&lt;=0.4,"Menor",IF(AB26&lt;=0.6,"Moderado",IF(AB26&lt;=0.8,"Mayor","Catastrófico"))))),"")</f>
        <v>Mayor</v>
      </c>
      <c r="AB26" s="145">
        <f ca="1">IFERROR(IF(Q26="Impacto",(M26-(+M26*T26)),IF(Q26="Probabilidad",M26,"")),"")</f>
        <v>0.8</v>
      </c>
      <c r="AC26" s="147" t="str">
        <f ca="1">IFERROR(IF(OR(AND(Y26="Muy Baja",AA26="Leve"),AND(Y26="Muy Baja",AA26="Menor"),AND(Y26="Baja",AA26="Leve")),"Bajo",IF(OR(AND(Y26="Muy baja",AA26="Moderado"),AND(Y26="Baja",AA26="Menor"),AND(Y26="Baja",AA26="Moderado"),AND(Y26="Media",AA26="Leve"),AND(Y26="Media",AA26="Menor"),AND(Y26="Media",AA26="Moderado"),AND(Y26="Alta",AA26="Leve"),AND(Y26="Alta",AA26="Menor")),"Moderado",IF(OR(AND(Y26="Muy Baja",AA26="Mayor"),AND(Y26="Baja",AA26="Mayor"),AND(Y26="Media",AA26="Mayor"),AND(Y26="Alta",AA26="Moderado"),AND(Y26="Alta",AA26="Mayor"),AND(Y26="Muy Alta",AA26="Leve"),AND(Y26="Muy Alta",AA26="Menor"),AND(Y26="Muy Alta",AA26="Moderado"),AND(Y26="Muy Alta",AA26="Mayor")),"Alto",IF(OR(AND(Y26="Muy Baja",AA26="Catastrófico"),AND(Y26="Baja",AA26="Catastrófico"),AND(Y26="Media",AA26="Catastrófico"),AND(Y26="Alta",AA26="Catastrófico"),AND(Y26="Muy Alta",AA26="Catastrófico")),"Extremo","")))),"")</f>
        <v>Alto</v>
      </c>
      <c r="AD26" s="144" t="s">
        <v>179</v>
      </c>
      <c r="AE26" s="152" t="s">
        <v>234</v>
      </c>
      <c r="AF26" s="151" t="s">
        <v>452</v>
      </c>
      <c r="AG26" s="164">
        <v>46055</v>
      </c>
      <c r="AH26" s="164">
        <v>46374</v>
      </c>
      <c r="AI26" s="164"/>
      <c r="AJ26" s="164"/>
      <c r="AK26" s="164"/>
      <c r="AL26" s="164"/>
      <c r="AM26" s="164"/>
      <c r="AN26" s="164"/>
      <c r="AO26" s="164"/>
      <c r="AP26" s="164"/>
      <c r="AQ26" s="151"/>
      <c r="AR26" s="151"/>
      <c r="AS26" s="88"/>
      <c r="AT26" s="88"/>
      <c r="AU26" s="88"/>
      <c r="AV26" s="88"/>
      <c r="AW26" s="88"/>
      <c r="AX26" s="88"/>
      <c r="AY26" s="88"/>
      <c r="AZ26" s="88"/>
      <c r="BA26" s="88"/>
      <c r="BB26" s="88"/>
      <c r="BC26" s="88"/>
      <c r="BD26" s="88"/>
      <c r="BE26" s="88"/>
      <c r="BF26" s="88"/>
      <c r="BG26" s="88"/>
      <c r="BH26" s="88"/>
      <c r="BI26" s="88"/>
      <c r="BJ26" s="88"/>
      <c r="BK26" s="88"/>
    </row>
    <row r="27" spans="1:63" s="89" customFormat="1" ht="171" customHeight="1" x14ac:dyDescent="0.25">
      <c r="A27" s="157">
        <v>9</v>
      </c>
      <c r="B27" s="161" t="s">
        <v>199</v>
      </c>
      <c r="C27" s="158" t="s">
        <v>182</v>
      </c>
      <c r="D27" s="158" t="s">
        <v>231</v>
      </c>
      <c r="E27" s="160" t="s">
        <v>230</v>
      </c>
      <c r="F27" s="158" t="s">
        <v>373</v>
      </c>
      <c r="G27" s="159">
        <v>100</v>
      </c>
      <c r="H27" s="155" t="str">
        <f>IF(G27&lt;=0,"",IF(G27&lt;=2,"Muy Baja",IF(G27&lt;=24,"Baja",IF(G27&lt;=500,"Media",IF(G27&lt;=5000,"Alta","Muy Alta")))))</f>
        <v>Media</v>
      </c>
      <c r="I27" s="137">
        <f>IF(H27="","",IF(H27="Muy Baja",0.2,IF(H27="Baja",0.4,IF(H27="Media",0.6,IF(H27="Alta",0.8,IF(H27="Muy Alta",1,))))))</f>
        <v>0.6</v>
      </c>
      <c r="J27" s="156" t="s">
        <v>138</v>
      </c>
      <c r="K27" s="137" t="str">
        <f ca="1">IF(NOT(ISERROR(MATCH(J27,'Tabla Impacto'!$B$221:$B$223,0))),'Tabla Impacto'!$F$223&amp;"Por favor no seleccionar los criterios de impacto(Afectación Económica o presupuestal y Pérdida Reputacional)",J27)</f>
        <v xml:space="preserve">     El riesgo afecta la imagen de de la entidad con efecto publicitario sostenido a nivel de sector administrativo, nivel departamental o municipal</v>
      </c>
      <c r="L27" s="155" t="str">
        <f ca="1">IF(OR(K27='Tabla Impacto'!$C$11,K27='Tabla Impacto'!$D$11),"Leve",IF(OR(K27='Tabla Impacto'!$C$12,K27='Tabla Impacto'!$D$12),"Menor",IF(OR(K27='Tabla Impacto'!$C$13,K27='Tabla Impacto'!$D$13),"Moderado",IF(OR(K27='Tabla Impacto'!$C$14,K27='Tabla Impacto'!$D$14),"Mayor",IF(OR(K27='Tabla Impacto'!$C$15,K27='Tabla Impacto'!$D$15),"Catastrófico","")))))</f>
        <v>Mayor</v>
      </c>
      <c r="M27" s="137">
        <f t="shared" ref="M27" ca="1" si="39">IF(L27="","",IF(L27="Leve",0.2,IF(L27="Menor",0.4,IF(L27="Moderado",0.6,IF(L27="Mayor",0.8,IF(L27="Catastrófico",1,))))))</f>
        <v>0.8</v>
      </c>
      <c r="N27" s="154" t="str">
        <f t="shared" ref="N27" ca="1" si="40">IF(OR(AND(H27="Muy Baja",L27="Leve"),AND(H27="Muy Baja",L27="Menor"),AND(H27="Baja",L27="Leve")),"Bajo",IF(OR(AND(H27="Muy baja",L27="Moderado"),AND(H27="Baja",L27="Menor"),AND(H27="Baja",L27="Moderado"),AND(H27="Media",L27="Leve"),AND(H27="Media",L27="Menor"),AND(H27="Media",L27="Moderado"),AND(H27="Alta",L27="Leve"),AND(H27="Alta",L27="Menor")),"Moderado",IF(OR(AND(H27="Muy Baja",L27="Mayor"),AND(H27="Baja",L27="Mayor"),AND(H27="Media",L27="Mayor"),AND(H27="Alta",L27="Moderado"),AND(H27="Alta",L27="Mayor"),AND(H27="Muy Alta",L27="Leve"),AND(H27="Muy Alta",L27="Menor"),AND(H27="Muy Alta",L27="Moderado"),AND(H27="Muy Alta",L27="Mayor")),"Alto",IF(OR(AND(H27="Muy Baja",L27="Catastrófico"),AND(H27="Baja",L27="Catastrófico"),AND(H27="Media",L27="Catastrófico"),AND(H27="Alta",L27="Catastrófico"),AND(H27="Muy Alta",L27="Catastrófico")),"Extremo",""))))</f>
        <v>Alto</v>
      </c>
      <c r="O27" s="136">
        <v>1</v>
      </c>
      <c r="P27" s="97" t="s">
        <v>233</v>
      </c>
      <c r="Q27" s="148" t="str">
        <f>IF(OR(R27="Preventivo",R27="Detectivo"),"Probabilidad",IF(R27="Correctivo","Impacto",""))</f>
        <v>Probabilidad</v>
      </c>
      <c r="R27" s="144" t="s">
        <v>152</v>
      </c>
      <c r="S27" s="144" t="s">
        <v>160</v>
      </c>
      <c r="T27" s="145" t="str">
        <f>IF(AND(R27="Preventivo",S27="Automático"),"50%",IF(AND(R27="Preventivo",S27="Manual"),"40%",IF(AND(R27="Detectivo",S27="Automático"),"40%",IF(AND(R27="Detectivo",S27="Manual"),"30%",IF(AND(R27="Correctivo",S27="Automático"),"35%",IF(AND(R27="Correctivo",S27="Manual"),"25%",""))))))</f>
        <v>40%</v>
      </c>
      <c r="U27" s="144" t="s">
        <v>163</v>
      </c>
      <c r="V27" s="144" t="s">
        <v>168</v>
      </c>
      <c r="W27" s="144" t="s">
        <v>172</v>
      </c>
      <c r="X27" s="146">
        <f>IFERROR(IF(Q27="Probabilidad",(I27-(+I27*T27)),IF(Q27="Impacto",I27,"")),"")</f>
        <v>0.36</v>
      </c>
      <c r="Y27" s="142" t="str">
        <f>IFERROR(IF(X27="","",IF(X27&lt;=0.2,"Muy Baja",IF(X27&lt;=0.4,"Baja",IF(X27&lt;=0.6,"Media",IF(X27&lt;=0.8,"Alta","Muy Alta"))))),"")</f>
        <v>Baja</v>
      </c>
      <c r="Z27" s="145">
        <f>+X27</f>
        <v>0.36</v>
      </c>
      <c r="AA27" s="142" t="str">
        <f ca="1">IFERROR(IF(AB27="","",IF(AB27&lt;=0.2,"Leve",IF(AB27&lt;=0.4,"Menor",IF(AB27&lt;=0.6,"Moderado",IF(AB27&lt;=0.8,"Mayor","Catastrófico"))))),"")</f>
        <v>Mayor</v>
      </c>
      <c r="AB27" s="145">
        <f ca="1">IFERROR(IF(Q27="Impacto",(M27-(+M27*T27)),IF(Q27="Probabilidad",M27,"")),"")</f>
        <v>0.8</v>
      </c>
      <c r="AC27" s="147" t="str">
        <f ca="1">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Alto</v>
      </c>
      <c r="AD27" s="144" t="s">
        <v>179</v>
      </c>
      <c r="AE27" s="152" t="s">
        <v>235</v>
      </c>
      <c r="AF27" s="151" t="s">
        <v>452</v>
      </c>
      <c r="AG27" s="164">
        <v>46055</v>
      </c>
      <c r="AH27" s="164">
        <v>46374</v>
      </c>
      <c r="AI27" s="164"/>
      <c r="AJ27" s="164"/>
      <c r="AK27" s="164"/>
      <c r="AL27" s="164"/>
      <c r="AM27" s="164"/>
      <c r="AN27" s="164"/>
      <c r="AO27" s="164"/>
      <c r="AP27" s="164"/>
      <c r="AQ27" s="151"/>
      <c r="AR27" s="151"/>
      <c r="AS27" s="88"/>
      <c r="AT27" s="88"/>
      <c r="AU27" s="88"/>
      <c r="AV27" s="88"/>
      <c r="AW27" s="88"/>
      <c r="AX27" s="88"/>
      <c r="AY27" s="88"/>
      <c r="AZ27" s="88"/>
      <c r="BA27" s="88"/>
      <c r="BB27" s="88"/>
      <c r="BC27" s="88"/>
      <c r="BD27" s="88"/>
      <c r="BE27" s="88"/>
      <c r="BF27" s="88"/>
      <c r="BG27" s="88"/>
      <c r="BH27" s="88"/>
      <c r="BI27" s="88"/>
      <c r="BJ27" s="88"/>
      <c r="BK27" s="88"/>
    </row>
    <row r="28" spans="1:63" s="89" customFormat="1" ht="242.25" customHeight="1" x14ac:dyDescent="0.25">
      <c r="A28" s="157">
        <v>10</v>
      </c>
      <c r="B28" s="161" t="s">
        <v>236</v>
      </c>
      <c r="C28" s="158" t="s">
        <v>182</v>
      </c>
      <c r="D28" s="158" t="s">
        <v>238</v>
      </c>
      <c r="E28" s="160" t="s">
        <v>237</v>
      </c>
      <c r="F28" s="158" t="s">
        <v>370</v>
      </c>
      <c r="G28" s="159">
        <v>60</v>
      </c>
      <c r="H28" s="155" t="str">
        <f>IF(G28&lt;=0,"",IF(G28&lt;=2,"Muy Baja",IF(G28&lt;=24,"Baja",IF(G28&lt;=500,"Media",IF(G28&lt;=5000,"Alta","Muy Alta")))))</f>
        <v>Media</v>
      </c>
      <c r="I28" s="137">
        <f>IF(H28="","",IF(H28="Muy Baja",0.2,IF(H28="Baja",0.4,IF(H28="Media",0.6,IF(H28="Alta",0.8,IF(H28="Muy Alta",1,))))))</f>
        <v>0.6</v>
      </c>
      <c r="J28" s="156" t="s">
        <v>137</v>
      </c>
      <c r="K28" s="137" t="str">
        <f ca="1">IF(NOT(ISERROR(MATCH(J28,'Tabla Impacto'!$B$221:$B$223,0))),'Tabla Impacto'!$F$223&amp;"Por favor no seleccionar los criterios de impacto(Afectación Económica o presupuestal y Pérdida Reputacional)",J28)</f>
        <v xml:space="preserve">     Entre 100 y 500 SMLMV </v>
      </c>
      <c r="L28" s="155" t="str">
        <f ca="1">IF(OR(K28='Tabla Impacto'!$C$11,K28='Tabla Impacto'!$D$11),"Leve",IF(OR(K28='Tabla Impacto'!$C$12,K28='Tabla Impacto'!$D$12),"Menor",IF(OR(K28='Tabla Impacto'!$C$13,K28='Tabla Impacto'!$D$13),"Moderado",IF(OR(K28='Tabla Impacto'!$C$14,K28='Tabla Impacto'!$D$14),"Mayor",IF(OR(K28='Tabla Impacto'!$C$15,K28='Tabla Impacto'!$D$15),"Catastrófico","")))))</f>
        <v>Mayor</v>
      </c>
      <c r="M28" s="137">
        <f t="shared" ref="M28:M42" ca="1" si="41">IF(L28="","",IF(L28="Leve",0.2,IF(L28="Menor",0.4,IF(L28="Moderado",0.6,IF(L28="Mayor",0.8,IF(L28="Catastrófico",1,))))))</f>
        <v>0.8</v>
      </c>
      <c r="N28" s="154" t="str">
        <f ca="1">IF(OR(AND(H28="Muy Baja",L28="Leve"),AND(H28="Muy Baja",L28="Menor"),AND(H28="Baja",L28="Leve")),"Bajo",IF(OR(AND(H28="Muy baja",L28="Moderado"),AND(H28="Baja",L28="Menor"),AND(H28="Baja",L28="Moderado"),AND(H28="Media",L28="Leve"),AND(H28="Media",L28="Menor"),AND(H28="Media",L28="Moderado"),AND(H28="Alta",L28="Leve"),AND(H28="Alta",L28="Menor")),"Moderado",IF(OR(AND(H28="Muy Baja",L28="Mayor"),AND(H28="Baja",L28="Mayor"),AND(H28="Media",L28="Mayor"),AND(H28="Alta",L28="Moderado"),AND(H28="Alta",L28="Mayor"),AND(H28="Muy Alta",L28="Leve"),AND(H28="Muy Alta",L28="Menor"),AND(H28="Muy Alta",L28="Moderado"),AND(H28="Muy Alta",L28="Mayor")),"Alto",IF(OR(AND(H28="Muy Baja",L28="Catastrófico"),AND(H28="Baja",L28="Catastrófico"),AND(H28="Media",L28="Catastrófico"),AND(H28="Alta",L28="Catastrófico"),AND(H28="Muy Alta",L28="Catastrófico")),"Extremo",""))))</f>
        <v>Alto</v>
      </c>
      <c r="O28" s="136">
        <v>1</v>
      </c>
      <c r="P28" s="97" t="s">
        <v>243</v>
      </c>
      <c r="Q28" s="148" t="str">
        <f>IF(OR(R28="Preventivo",R28="Detectivo"),"Probabilidad",IF(R28="Correctivo","Impacto",""))</f>
        <v>Probabilidad</v>
      </c>
      <c r="R28" s="144" t="s">
        <v>152</v>
      </c>
      <c r="S28" s="144" t="s">
        <v>160</v>
      </c>
      <c r="T28" s="145" t="str">
        <f>IF(AND(R28="Preventivo",S28="Automático"),"50%",IF(AND(R28="Preventivo",S28="Manual"),"40%",IF(AND(R28="Detectivo",S28="Automático"),"40%",IF(AND(R28="Detectivo",S28="Manual"),"30%",IF(AND(R28="Correctivo",S28="Automático"),"35%",IF(AND(R28="Correctivo",S28="Manual"),"25%",""))))))</f>
        <v>40%</v>
      </c>
      <c r="U28" s="144" t="s">
        <v>163</v>
      </c>
      <c r="V28" s="144" t="s">
        <v>168</v>
      </c>
      <c r="W28" s="144" t="s">
        <v>172</v>
      </c>
      <c r="X28" s="146">
        <f>IFERROR(IF(Q28="Probabilidad",(I28-(+I28*T28)),IF(Q28="Impacto",I28,"")),"")</f>
        <v>0.36</v>
      </c>
      <c r="Y28" s="142" t="str">
        <f>IFERROR(IF(X28="","",IF(X28&lt;=0.2,"Muy Baja",IF(X28&lt;=0.4,"Baja",IF(X28&lt;=0.6,"Media",IF(X28&lt;=0.8,"Alta","Muy Alta"))))),"")</f>
        <v>Baja</v>
      </c>
      <c r="Z28" s="145">
        <f>+X28</f>
        <v>0.36</v>
      </c>
      <c r="AA28" s="142" t="str">
        <f ca="1">IFERROR(IF(AB28="","",IF(AB28&lt;=0.2,"Leve",IF(AB28&lt;=0.4,"Menor",IF(AB28&lt;=0.6,"Moderado",IF(AB28&lt;=0.8,"Mayor","Catastrófico"))))),"")</f>
        <v>Mayor</v>
      </c>
      <c r="AB28" s="145">
        <f ca="1">IFERROR(IF(Q28="Impacto",(M28-(+M28*T28)),IF(Q28="Probabilidad",M28,"")),"")</f>
        <v>0.8</v>
      </c>
      <c r="AC28" s="147" t="str">
        <f ca="1">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Alto</v>
      </c>
      <c r="AD28" s="144" t="s">
        <v>179</v>
      </c>
      <c r="AE28" s="152" t="s">
        <v>405</v>
      </c>
      <c r="AF28" s="151" t="s">
        <v>452</v>
      </c>
      <c r="AG28" s="164">
        <v>46055</v>
      </c>
      <c r="AH28" s="164">
        <v>46374</v>
      </c>
      <c r="AI28" s="164"/>
      <c r="AJ28" s="164"/>
      <c r="AK28" s="164"/>
      <c r="AL28" s="164"/>
      <c r="AM28" s="164"/>
      <c r="AN28" s="164"/>
      <c r="AO28" s="164"/>
      <c r="AP28" s="164"/>
      <c r="AQ28" s="151"/>
      <c r="AR28" s="151"/>
      <c r="AS28" s="88"/>
      <c r="AT28" s="88"/>
      <c r="AU28" s="88"/>
      <c r="AV28" s="88"/>
      <c r="AW28" s="88"/>
      <c r="AX28" s="88"/>
      <c r="AY28" s="88"/>
      <c r="AZ28" s="88"/>
      <c r="BA28" s="88"/>
      <c r="BB28" s="88"/>
      <c r="BC28" s="88"/>
      <c r="BD28" s="88"/>
      <c r="BE28" s="88"/>
      <c r="BF28" s="88"/>
      <c r="BG28" s="88"/>
      <c r="BH28" s="88"/>
      <c r="BI28" s="88"/>
      <c r="BJ28" s="88"/>
      <c r="BK28" s="88"/>
    </row>
    <row r="29" spans="1:63" s="89" customFormat="1" ht="134.25" customHeight="1" x14ac:dyDescent="0.25">
      <c r="A29" s="157">
        <v>11</v>
      </c>
      <c r="B29" s="161" t="s">
        <v>236</v>
      </c>
      <c r="C29" s="158" t="s">
        <v>182</v>
      </c>
      <c r="D29" s="158" t="s">
        <v>239</v>
      </c>
      <c r="E29" s="160" t="s">
        <v>240</v>
      </c>
      <c r="F29" s="158" t="s">
        <v>370</v>
      </c>
      <c r="G29" s="159">
        <v>40</v>
      </c>
      <c r="H29" s="155" t="str">
        <f>IF(G29&lt;=0,"",IF(G29&lt;=2,"Muy Baja",IF(G29&lt;=24,"Baja",IF(G29&lt;=500,"Media",IF(G29&lt;=5000,"Alta","Muy Alta")))))</f>
        <v>Media</v>
      </c>
      <c r="I29" s="137">
        <f>IF(H29="","",IF(H29="Muy Baja",0.2,IF(H29="Baja",0.4,IF(H29="Media",0.6,IF(H29="Alta",0.8,IF(H29="Muy Alta",1,))))))</f>
        <v>0.6</v>
      </c>
      <c r="J29" s="156" t="s">
        <v>131</v>
      </c>
      <c r="K29" s="137" t="str">
        <f ca="1">IF(NOT(ISERROR(MATCH(J29,'Tabla Impacto'!$B$221:$B$223,0))),'Tabla Impacto'!$F$223&amp;"Por favor no seleccionar los criterios de impacto(Afectación Económica o presupuestal y Pérdida Reputacional)",J29)</f>
        <v xml:space="preserve">     El riesgo afecta la imagen de alguna área de la organización</v>
      </c>
      <c r="L29" s="155" t="str">
        <f ca="1">IF(OR(K29='Tabla Impacto'!$C$11,K29='Tabla Impacto'!$D$11),"Leve",IF(OR(K29='Tabla Impacto'!$C$12,K29='Tabla Impacto'!$D$12),"Menor",IF(OR(K29='Tabla Impacto'!$C$13,K29='Tabla Impacto'!$D$13),"Moderado",IF(OR(K29='Tabla Impacto'!$C$14,K29='Tabla Impacto'!$D$14),"Mayor",IF(OR(K29='Tabla Impacto'!$C$15,K29='Tabla Impacto'!$D$15),"Catastrófico","")))))</f>
        <v>Leve</v>
      </c>
      <c r="M29" s="137">
        <f t="shared" ca="1" si="41"/>
        <v>0.2</v>
      </c>
      <c r="N29" s="154" t="str">
        <f ca="1">IF(OR(AND(H29="Muy Baja",L29="Leve"),AND(H29="Muy Baja",L29="Menor"),AND(H29="Baja",L29="Leve")),"Bajo",IF(OR(AND(H29="Muy baja",L29="Moderado"),AND(H29="Baja",L29="Menor"),AND(H29="Baja",L29="Moderado"),AND(H29="Media",L29="Leve"),AND(H29="Media",L29="Menor"),AND(H29="Media",L29="Moderado"),AND(H29="Alta",L29="Leve"),AND(H29="Alta",L29="Menor")),"Moderado",IF(OR(AND(H29="Muy Baja",L29="Mayor"),AND(H29="Baja",L29="Mayor"),AND(H29="Media",L29="Mayor"),AND(H29="Alta",L29="Moderado"),AND(H29="Alta",L29="Mayor"),AND(H29="Muy Alta",L29="Leve"),AND(H29="Muy Alta",L29="Menor"),AND(H29="Muy Alta",L29="Moderado"),AND(H29="Muy Alta",L29="Mayor")),"Alto",IF(OR(AND(H29="Muy Baja",L29="Catastrófico"),AND(H29="Baja",L29="Catastrófico"),AND(H29="Media",L29="Catastrófico"),AND(H29="Alta",L29="Catastrófico"),AND(H29="Muy Alta",L29="Catastrófico")),"Extremo",""))))</f>
        <v>Moderado</v>
      </c>
      <c r="O29" s="136">
        <v>1</v>
      </c>
      <c r="P29" s="97" t="s">
        <v>244</v>
      </c>
      <c r="Q29" s="148" t="str">
        <f>IF(OR(R29="Preventivo",R29="Detectivo"),"Probabilidad",IF(R29="Correctivo","Impacto",""))</f>
        <v>Probabilidad</v>
      </c>
      <c r="R29" s="144" t="s">
        <v>152</v>
      </c>
      <c r="S29" s="144" t="s">
        <v>160</v>
      </c>
      <c r="T29" s="145" t="str">
        <f>IF(AND(R29="Preventivo",S29="Automático"),"50%",IF(AND(R29="Preventivo",S29="Manual"),"40%",IF(AND(R29="Detectivo",S29="Automático"),"40%",IF(AND(R29="Detectivo",S29="Manual"),"30%",IF(AND(R29="Correctivo",S29="Automático"),"35%",IF(AND(R29="Correctivo",S29="Manual"),"25%",""))))))</f>
        <v>40%</v>
      </c>
      <c r="U29" s="144" t="s">
        <v>163</v>
      </c>
      <c r="V29" s="144" t="s">
        <v>168</v>
      </c>
      <c r="W29" s="144" t="s">
        <v>172</v>
      </c>
      <c r="X29" s="146">
        <f>IFERROR(IF(Q29="Probabilidad",(I29-(+I29*T29)),IF(Q29="Impacto",I29,"")),"")</f>
        <v>0.36</v>
      </c>
      <c r="Y29" s="142" t="str">
        <f>IFERROR(IF(X29="","",IF(X29&lt;=0.2,"Muy Baja",IF(X29&lt;=0.4,"Baja",IF(X29&lt;=0.6,"Media",IF(X29&lt;=0.8,"Alta","Muy Alta"))))),"")</f>
        <v>Baja</v>
      </c>
      <c r="Z29" s="145">
        <f>+X29</f>
        <v>0.36</v>
      </c>
      <c r="AA29" s="142" t="str">
        <f ca="1">IFERROR(IF(AB29="","",IF(AB29&lt;=0.2,"Leve",IF(AB29&lt;=0.4,"Menor",IF(AB29&lt;=0.6,"Moderado",IF(AB29&lt;=0.8,"Mayor","Catastrófico"))))),"")</f>
        <v>Leve</v>
      </c>
      <c r="AB29" s="145">
        <f ca="1">IFERROR(IF(Q29="Impacto",(M29-(+M29*T29)),IF(Q29="Probabilidad",M29,"")),"")</f>
        <v>0.2</v>
      </c>
      <c r="AC29" s="147" t="str">
        <f ca="1">IFERROR(IF(OR(AND(Y29="Muy Baja",AA29="Leve"),AND(Y29="Muy Baja",AA29="Menor"),AND(Y29="Baja",AA29="Leve")),"Bajo",IF(OR(AND(Y29="Muy baja",AA29="Moderado"),AND(Y29="Baja",AA29="Menor"),AND(Y29="Baja",AA29="Moderado"),AND(Y29="Media",AA29="Leve"),AND(Y29="Media",AA29="Menor"),AND(Y29="Media",AA29="Moderado"),AND(Y29="Alta",AA29="Leve"),AND(Y29="Alta",AA29="Menor")),"Moderado",IF(OR(AND(Y29="Muy Baja",AA29="Mayor"),AND(Y29="Baja",AA29="Mayor"),AND(Y29="Media",AA29="Mayor"),AND(Y29="Alta",AA29="Moderado"),AND(Y29="Alta",AA29="Mayor"),AND(Y29="Muy Alta",AA29="Leve"),AND(Y29="Muy Alta",AA29="Menor"),AND(Y29="Muy Alta",AA29="Moderado"),AND(Y29="Muy Alta",AA29="Mayor")),"Alto",IF(OR(AND(Y29="Muy Baja",AA29="Catastrófico"),AND(Y29="Baja",AA29="Catastrófico"),AND(Y29="Media",AA29="Catastrófico"),AND(Y29="Alta",AA29="Catastrófico"),AND(Y29="Muy Alta",AA29="Catastrófico")),"Extremo","")))),"")</f>
        <v>Bajo</v>
      </c>
      <c r="AD29" s="144" t="s">
        <v>179</v>
      </c>
      <c r="AE29" s="152" t="s">
        <v>245</v>
      </c>
      <c r="AF29" s="151" t="s">
        <v>452</v>
      </c>
      <c r="AG29" s="164">
        <v>46055</v>
      </c>
      <c r="AH29" s="164">
        <v>46374</v>
      </c>
      <c r="AI29" s="164"/>
      <c r="AJ29" s="164"/>
      <c r="AK29" s="164"/>
      <c r="AL29" s="164"/>
      <c r="AM29" s="164"/>
      <c r="AN29" s="164"/>
      <c r="AO29" s="164"/>
      <c r="AP29" s="164"/>
      <c r="AQ29" s="151"/>
      <c r="AR29" s="151"/>
    </row>
    <row r="30" spans="1:63" s="89" customFormat="1" ht="141" customHeight="1" x14ac:dyDescent="0.25">
      <c r="A30" s="247">
        <v>12</v>
      </c>
      <c r="B30" s="253" t="s">
        <v>236</v>
      </c>
      <c r="C30" s="249" t="s">
        <v>182</v>
      </c>
      <c r="D30" s="249" t="s">
        <v>242</v>
      </c>
      <c r="E30" s="251" t="s">
        <v>241</v>
      </c>
      <c r="F30" s="249" t="s">
        <v>370</v>
      </c>
      <c r="G30" s="272">
        <v>60</v>
      </c>
      <c r="H30" s="270" t="str">
        <f>IF(G30&lt;=0,"",IF(G30&lt;=2,"Muy Baja",IF(G30&lt;=24,"Baja",IF(G30&lt;=500,"Media",IF(G30&lt;=5000,"Alta","Muy Alta")))))</f>
        <v>Media</v>
      </c>
      <c r="I30" s="266">
        <f>IF(H30="","",IF(H30="Muy Baja",0.2,IF(H30="Baja",0.4,IF(H30="Media",0.6,IF(H30="Alta",0.8,IF(H30="Muy Alta",1,))))))</f>
        <v>0.6</v>
      </c>
      <c r="J30" s="274" t="s">
        <v>133</v>
      </c>
      <c r="K30" s="266" t="str">
        <f ca="1">IF(NOT(ISERROR(MATCH(J30,'Tabla Impacto'!$B$221:$B$223,0))),'Tabla Impacto'!$F$223&amp;"Por favor no seleccionar los criterios de impacto(Afectación Económica o presupuestal y Pérdida Reputacional)",J30)</f>
        <v xml:space="preserve">     Entre 10 y 50 SMLMV </v>
      </c>
      <c r="L30" s="270" t="str">
        <f ca="1">IF(OR(K30='Tabla Impacto'!$C$11,K30='Tabla Impacto'!$D$11),"Leve",IF(OR(K30='Tabla Impacto'!$C$12,K30='Tabla Impacto'!$D$12),"Menor",IF(OR(K30='Tabla Impacto'!$C$13,K30='Tabla Impacto'!$D$13),"Moderado",IF(OR(K30='Tabla Impacto'!$C$14,K30='Tabla Impacto'!$D$14),"Mayor",IF(OR(K30='Tabla Impacto'!$C$15,K30='Tabla Impacto'!$D$15),"Catastrófico","")))))</f>
        <v>Menor</v>
      </c>
      <c r="M30" s="266">
        <f t="shared" ca="1" si="41"/>
        <v>0.4</v>
      </c>
      <c r="N30" s="268" t="str">
        <f t="shared" ref="N30" ca="1" si="42">IF(OR(AND(H30="Muy Baja",L30="Leve"),AND(H30="Muy Baja",L30="Menor"),AND(H30="Baja",L30="Leve")),"Bajo",IF(OR(AND(H30="Muy baja",L30="Moderado"),AND(H30="Baja",L30="Menor"),AND(H30="Baja",L30="Moderado"),AND(H30="Media",L30="Leve"),AND(H30="Media",L30="Menor"),AND(H30="Media",L30="Moderado"),AND(H30="Alta",L30="Leve"),AND(H30="Alta",L30="Menor")),"Moderado",IF(OR(AND(H30="Muy Baja",L30="Mayor"),AND(H30="Baja",L30="Mayor"),AND(H30="Media",L30="Mayor"),AND(H30="Alta",L30="Moderado"),AND(H30="Alta",L30="Mayor"),AND(H30="Muy Alta",L30="Leve"),AND(H30="Muy Alta",L30="Menor"),AND(H30="Muy Alta",L30="Moderado"),AND(H30="Muy Alta",L30="Mayor")),"Alto",IF(OR(AND(H30="Muy Baja",L30="Catastrófico"),AND(H30="Baja",L30="Catastrófico"),AND(H30="Media",L30="Catastrófico"),AND(H30="Alta",L30="Catastrófico"),AND(H30="Muy Alta",L30="Catastrófico")),"Extremo",""))))</f>
        <v>Moderado</v>
      </c>
      <c r="O30" s="136">
        <v>1</v>
      </c>
      <c r="P30" s="149" t="s">
        <v>419</v>
      </c>
      <c r="Q30" s="148" t="str">
        <f>IF(OR(R30="Preventivo",R30="Detectivo"),"Probabilidad",IF(R30="Correctivo","Impacto",""))</f>
        <v>Probabilidad</v>
      </c>
      <c r="R30" s="144" t="s">
        <v>152</v>
      </c>
      <c r="S30" s="144" t="s">
        <v>160</v>
      </c>
      <c r="T30" s="145" t="str">
        <f>IF(AND(R30="Preventivo",S30="Automático"),"50%",IF(AND(R30="Preventivo",S30="Manual"),"40%",IF(AND(R30="Detectivo",S30="Automático"),"40%",IF(AND(R30="Detectivo",S30="Manual"),"30%",IF(AND(R30="Correctivo",S30="Automático"),"35%",IF(AND(R30="Correctivo",S30="Manual"),"25%",""))))))</f>
        <v>40%</v>
      </c>
      <c r="U30" s="144" t="s">
        <v>163</v>
      </c>
      <c r="V30" s="144" t="s">
        <v>168</v>
      </c>
      <c r="W30" s="144" t="s">
        <v>172</v>
      </c>
      <c r="X30" s="146">
        <f>IFERROR(IF(Q30="Probabilidad",(I30-(+I30*T30)),IF(Q30="Impacto",I30,"")),"")</f>
        <v>0.36</v>
      </c>
      <c r="Y30" s="142" t="str">
        <f>IFERROR(IF(X30="","",IF(X30&lt;=0.2,"Muy Baja",IF(X30&lt;=0.4,"Baja",IF(X30&lt;=0.6,"Media",IF(X30&lt;=0.8,"Alta","Muy Alta"))))),"")</f>
        <v>Baja</v>
      </c>
      <c r="Z30" s="145">
        <f>+X30</f>
        <v>0.36</v>
      </c>
      <c r="AA30" s="142" t="str">
        <f ca="1">IFERROR(IF(AB30="","",IF(AB30&lt;=0.2,"Leve",IF(AB30&lt;=0.4,"Menor",IF(AB30&lt;=0.6,"Moderado",IF(AB30&lt;=0.8,"Mayor","Catastrófico"))))),"")</f>
        <v>Menor</v>
      </c>
      <c r="AB30" s="145">
        <f ca="1">IFERROR(IF(Q30="Impacto",(M30-(+M30*T30)),IF(Q30="Probabilidad",M30,"")),"")</f>
        <v>0.4</v>
      </c>
      <c r="AC30" s="147" t="str">
        <f ca="1">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Moderado</v>
      </c>
      <c r="AD30" s="144" t="s">
        <v>179</v>
      </c>
      <c r="AE30" s="152" t="s">
        <v>376</v>
      </c>
      <c r="AF30" s="151" t="s">
        <v>452</v>
      </c>
      <c r="AG30" s="164">
        <v>46055</v>
      </c>
      <c r="AH30" s="164">
        <v>46374</v>
      </c>
      <c r="AI30" s="164"/>
      <c r="AJ30" s="164"/>
      <c r="AK30" s="164"/>
      <c r="AL30" s="164"/>
      <c r="AM30" s="164"/>
      <c r="AN30" s="164"/>
      <c r="AO30" s="164"/>
      <c r="AP30" s="164"/>
      <c r="AQ30" s="151"/>
      <c r="AR30" s="151"/>
    </row>
    <row r="31" spans="1:63" s="89" customFormat="1" ht="72" hidden="1" customHeight="1" x14ac:dyDescent="0.25">
      <c r="A31" s="248"/>
      <c r="B31" s="254"/>
      <c r="C31" s="250"/>
      <c r="D31" s="250"/>
      <c r="E31" s="252"/>
      <c r="F31" s="250"/>
      <c r="G31" s="273"/>
      <c r="H31" s="271"/>
      <c r="I31" s="267"/>
      <c r="J31" s="275"/>
      <c r="K31" s="267">
        <f ca="1">IF(NOT(ISERROR(MATCH(J31,_xlfn.ANCHORARRAY(E34),0))),#REF!&amp;"Por favor no seleccionar los criterios de impacto",J31)</f>
        <v>0</v>
      </c>
      <c r="L31" s="271"/>
      <c r="M31" s="267"/>
      <c r="N31" s="269"/>
      <c r="O31" s="136">
        <v>2</v>
      </c>
      <c r="P31" s="143"/>
      <c r="Q31" s="148"/>
      <c r="R31" s="144"/>
      <c r="S31" s="144"/>
      <c r="T31" s="145"/>
      <c r="U31" s="144"/>
      <c r="V31" s="144"/>
      <c r="W31" s="144"/>
      <c r="X31" s="146"/>
      <c r="Y31" s="142"/>
      <c r="Z31" s="145"/>
      <c r="AA31" s="142"/>
      <c r="AB31" s="145"/>
      <c r="AC31" s="147"/>
      <c r="AD31" s="144"/>
      <c r="AE31" s="152"/>
      <c r="AF31" s="151" t="s">
        <v>452</v>
      </c>
      <c r="AG31" s="164">
        <v>46055</v>
      </c>
      <c r="AH31" s="164">
        <v>46374</v>
      </c>
      <c r="AI31" s="164"/>
      <c r="AJ31" s="164"/>
      <c r="AK31" s="164"/>
      <c r="AL31" s="164"/>
      <c r="AM31" s="164"/>
      <c r="AN31" s="164"/>
      <c r="AO31" s="164"/>
      <c r="AP31" s="164"/>
      <c r="AQ31" s="151"/>
      <c r="AR31" s="151"/>
    </row>
    <row r="32" spans="1:63" s="89" customFormat="1" ht="64.5" customHeight="1" x14ac:dyDescent="0.25">
      <c r="A32" s="241">
        <v>13</v>
      </c>
      <c r="B32" s="246" t="s">
        <v>377</v>
      </c>
      <c r="C32" s="243" t="s">
        <v>182</v>
      </c>
      <c r="D32" s="243" t="s">
        <v>248</v>
      </c>
      <c r="E32" s="244" t="s">
        <v>246</v>
      </c>
      <c r="F32" s="243" t="s">
        <v>373</v>
      </c>
      <c r="G32" s="245">
        <v>365</v>
      </c>
      <c r="H32" s="233" t="str">
        <f>IF(G32&lt;=0,"",IF(G32&lt;=2,"Muy Baja",IF(G32&lt;=24,"Baja",IF(G32&lt;=500,"Media",IF(G32&lt;=5000,"Alta","Muy Alta")))))</f>
        <v>Media</v>
      </c>
      <c r="I32" s="234">
        <f>IF(H32="","",IF(H32="Muy Baja",0.2,IF(H32="Baja",0.4,IF(H32="Media",0.6,IF(H32="Alta",0.8,IF(H32="Muy Alta",1,))))))</f>
        <v>0.6</v>
      </c>
      <c r="J32" s="236" t="s">
        <v>136</v>
      </c>
      <c r="K32" s="234" t="str">
        <f ca="1">IF(NOT(ISERROR(MATCH(J32,'Tabla Impacto'!$B$221:$B$223,0))),'Tabla Impacto'!$F$223&amp;"Por favor no seleccionar los criterios de impacto(Afectación Económica o presupuestal y Pérdida Reputacional)",J32)</f>
        <v xml:space="preserve">     El riesgo afecta la imagen de la entidad con algunos usuarios de relevancia frente al logro de los objetivos</v>
      </c>
      <c r="L32" s="233" t="str">
        <f ca="1">IF(OR(K32='Tabla Impacto'!$C$11,K32='Tabla Impacto'!$D$11),"Leve",IF(OR(K32='Tabla Impacto'!$C$12,K32='Tabla Impacto'!$D$12),"Menor",IF(OR(K32='Tabla Impacto'!$C$13,K32='Tabla Impacto'!$D$13),"Moderado",IF(OR(K32='Tabla Impacto'!$C$14,K32='Tabla Impacto'!$D$14),"Mayor",IF(OR(K32='Tabla Impacto'!$C$15,K32='Tabla Impacto'!$D$15),"Catastrófico","")))))</f>
        <v>Moderado</v>
      </c>
      <c r="M32" s="234">
        <f t="shared" ca="1" si="41"/>
        <v>0.6</v>
      </c>
      <c r="N32" s="235" t="str">
        <f t="shared" ref="N32:N36" ca="1" si="43">IF(OR(AND(H32="Muy Baja",L32="Leve"),AND(H32="Muy Baja",L32="Menor"),AND(H32="Baja",L32="Leve")),"Bajo",IF(OR(AND(H32="Muy baja",L32="Moderado"),AND(H32="Baja",L32="Menor"),AND(H32="Baja",L32="Moderado"),AND(H32="Media",L32="Leve"),AND(H32="Media",L32="Menor"),AND(H32="Media",L32="Moderado"),AND(H32="Alta",L32="Leve"),AND(H32="Alta",L32="Menor")),"Moderado",IF(OR(AND(H32="Muy Baja",L32="Mayor"),AND(H32="Baja",L32="Mayor"),AND(H32="Media",L32="Mayor"),AND(H32="Alta",L32="Moderado"),AND(H32="Alta",L32="Mayor"),AND(H32="Muy Alta",L32="Leve"),AND(H32="Muy Alta",L32="Menor"),AND(H32="Muy Alta",L32="Moderado"),AND(H32="Muy Alta",L32="Mayor")),"Alto",IF(OR(AND(H32="Muy Baja",L32="Catastrófico"),AND(H32="Baja",L32="Catastrófico"),AND(H32="Media",L32="Catastrófico"),AND(H32="Alta",L32="Catastrófico"),AND(H32="Muy Alta",L32="Catastrófico")),"Extremo",""))))</f>
        <v>Moderado</v>
      </c>
      <c r="O32" s="136">
        <v>1</v>
      </c>
      <c r="P32" s="97" t="s">
        <v>378</v>
      </c>
      <c r="Q32" s="148" t="str">
        <f>IF(OR(R32="Preventivo",R32="Detectivo"),"Probabilidad",IF(R32="Correctivo","Impacto",""))</f>
        <v>Probabilidad</v>
      </c>
      <c r="R32" s="144" t="s">
        <v>152</v>
      </c>
      <c r="S32" s="144" t="s">
        <v>160</v>
      </c>
      <c r="T32" s="145" t="str">
        <f>IF(AND(R32="Preventivo",S32="Automático"),"50%",IF(AND(R32="Preventivo",S32="Manual"),"40%",IF(AND(R32="Detectivo",S32="Automático"),"40%",IF(AND(R32="Detectivo",S32="Manual"),"30%",IF(AND(R32="Correctivo",S32="Automático"),"35%",IF(AND(R32="Correctivo",S32="Manual"),"25%",""))))))</f>
        <v>40%</v>
      </c>
      <c r="U32" s="144" t="s">
        <v>163</v>
      </c>
      <c r="V32" s="144" t="s">
        <v>168</v>
      </c>
      <c r="W32" s="144" t="s">
        <v>172</v>
      </c>
      <c r="X32" s="146">
        <f>IFERROR(IF(Q32="Probabilidad",(I32-(+I32*T32)),IF(Q32="Impacto",I32,"")),"")</f>
        <v>0.36</v>
      </c>
      <c r="Y32" s="142" t="str">
        <f>IFERROR(IF(X32="","",IF(X32&lt;=0.2,"Muy Baja",IF(X32&lt;=0.4,"Baja",IF(X32&lt;=0.6,"Media",IF(X32&lt;=0.8,"Alta","Muy Alta"))))),"")</f>
        <v>Baja</v>
      </c>
      <c r="Z32" s="145">
        <f>+X32</f>
        <v>0.36</v>
      </c>
      <c r="AA32" s="142" t="str">
        <f ca="1">IFERROR(IF(AB32="","",IF(AB32&lt;=0.2,"Leve",IF(AB32&lt;=0.4,"Menor",IF(AB32&lt;=0.6,"Moderado",IF(AB32&lt;=0.8,"Mayor","Catastrófico"))))),"")</f>
        <v>Moderado</v>
      </c>
      <c r="AB32" s="145">
        <f ca="1">IFERROR(IF(Q32="Impacto",(M32-(+M32*T32)),IF(Q32="Probabilidad",M32,"")),"")</f>
        <v>0.6</v>
      </c>
      <c r="AC32" s="147" t="str">
        <f ca="1">IFERROR(IF(OR(AND(Y32="Muy Baja",AA32="Leve"),AND(Y32="Muy Baja",AA32="Menor"),AND(Y32="Baja",AA32="Leve")),"Bajo",IF(OR(AND(Y32="Muy baja",AA32="Moderado"),AND(Y32="Baja",AA32="Menor"),AND(Y32="Baja",AA32="Moderado"),AND(Y32="Media",AA32="Leve"),AND(Y32="Media",AA32="Menor"),AND(Y32="Media",AA32="Moderado"),AND(Y32="Alta",AA32="Leve"),AND(Y32="Alta",AA32="Menor")),"Moderado",IF(OR(AND(Y32="Muy Baja",AA32="Mayor"),AND(Y32="Baja",AA32="Mayor"),AND(Y32="Media",AA32="Mayor"),AND(Y32="Alta",AA32="Moderado"),AND(Y32="Alta",AA32="Mayor"),AND(Y32="Muy Alta",AA32="Leve"),AND(Y32="Muy Alta",AA32="Menor"),AND(Y32="Muy Alta",AA32="Moderado"),AND(Y32="Muy Alta",AA32="Mayor")),"Alto",IF(OR(AND(Y32="Muy Baja",AA32="Catastrófico"),AND(Y32="Baja",AA32="Catastrófico"),AND(Y32="Media",AA32="Catastrófico"),AND(Y32="Alta",AA32="Catastrófico"),AND(Y32="Muy Alta",AA32="Catastrófico")),"Extremo","")))),"")</f>
        <v>Moderado</v>
      </c>
      <c r="AD32" s="144" t="s">
        <v>179</v>
      </c>
      <c r="AE32" s="162" t="s">
        <v>338</v>
      </c>
      <c r="AF32" s="151" t="s">
        <v>455</v>
      </c>
      <c r="AG32" s="164">
        <v>46055</v>
      </c>
      <c r="AH32" s="164">
        <v>46374</v>
      </c>
      <c r="AI32" s="164"/>
      <c r="AJ32" s="164"/>
      <c r="AK32" s="164"/>
      <c r="AL32" s="164"/>
      <c r="AM32" s="164"/>
      <c r="AN32" s="164"/>
      <c r="AO32" s="164"/>
      <c r="AP32" s="164"/>
      <c r="AQ32" s="151"/>
      <c r="AR32" s="151"/>
    </row>
    <row r="33" spans="1:44" s="89" customFormat="1" ht="81" hidden="1" customHeight="1" x14ac:dyDescent="0.25">
      <c r="A33" s="241"/>
      <c r="B33" s="246"/>
      <c r="C33" s="243"/>
      <c r="D33" s="243"/>
      <c r="E33" s="244"/>
      <c r="F33" s="243"/>
      <c r="G33" s="245"/>
      <c r="H33" s="233"/>
      <c r="I33" s="234"/>
      <c r="J33" s="236"/>
      <c r="K33" s="234">
        <f ca="1">IF(NOT(ISERROR(MATCH(J33,_xlfn.ANCHORARRAY(E36),0))),#REF!&amp;"Por favor no seleccionar los criterios de impacto",J33)</f>
        <v>0</v>
      </c>
      <c r="L33" s="233"/>
      <c r="M33" s="234"/>
      <c r="N33" s="235"/>
      <c r="O33" s="136">
        <v>2</v>
      </c>
      <c r="P33" s="97"/>
      <c r="Q33" s="148"/>
      <c r="R33" s="144"/>
      <c r="S33" s="144"/>
      <c r="T33" s="145"/>
      <c r="U33" s="144"/>
      <c r="V33" s="144"/>
      <c r="W33" s="144"/>
      <c r="X33" s="146"/>
      <c r="Y33" s="142"/>
      <c r="Z33" s="145"/>
      <c r="AA33" s="142"/>
      <c r="AB33" s="145"/>
      <c r="AC33" s="147"/>
      <c r="AD33" s="144"/>
      <c r="AE33" s="162"/>
      <c r="AF33" s="151" t="s">
        <v>455</v>
      </c>
      <c r="AG33" s="164">
        <v>46055</v>
      </c>
      <c r="AH33" s="164">
        <v>46374</v>
      </c>
      <c r="AI33" s="164"/>
      <c r="AJ33" s="164"/>
      <c r="AK33" s="164"/>
      <c r="AL33" s="164"/>
      <c r="AM33" s="164"/>
      <c r="AN33" s="164"/>
      <c r="AO33" s="164"/>
      <c r="AP33" s="164"/>
      <c r="AQ33" s="151"/>
      <c r="AR33" s="151"/>
    </row>
    <row r="34" spans="1:44" s="89" customFormat="1" ht="128.25" customHeight="1" x14ac:dyDescent="0.25">
      <c r="A34" s="241">
        <v>14</v>
      </c>
      <c r="B34" s="246" t="s">
        <v>377</v>
      </c>
      <c r="C34" s="243" t="s">
        <v>182</v>
      </c>
      <c r="D34" s="243" t="s">
        <v>249</v>
      </c>
      <c r="E34" s="244" t="s">
        <v>339</v>
      </c>
      <c r="F34" s="243" t="s">
        <v>373</v>
      </c>
      <c r="G34" s="245">
        <v>24</v>
      </c>
      <c r="H34" s="233" t="str">
        <f>IF(G34&lt;=0,"",IF(G34&lt;=2,"Muy Baja",IF(G34&lt;=24,"Baja",IF(G34&lt;=500,"Media",IF(G34&lt;=5000,"Alta","Muy Alta")))))</f>
        <v>Baja</v>
      </c>
      <c r="I34" s="234">
        <f>IF(H34="","",IF(H34="Muy Baja",0.2,IF(H34="Baja",0.4,IF(H34="Media",0.6,IF(H34="Alta",0.8,IF(H34="Muy Alta",1,))))))</f>
        <v>0.4</v>
      </c>
      <c r="J34" s="236" t="s">
        <v>136</v>
      </c>
      <c r="K34" s="234" t="str">
        <f ca="1">IF(NOT(ISERROR(MATCH(J34,'Tabla Impacto'!$B$221:$B$223,0))),'Tabla Impacto'!$F$223&amp;"Por favor no seleccionar los criterios de impacto(Afectación Económica o presupuestal y Pérdida Reputacional)",J34)</f>
        <v xml:space="preserve">     El riesgo afecta la imagen de la entidad con algunos usuarios de relevancia frente al logro de los objetivos</v>
      </c>
      <c r="L34" s="233" t="str">
        <f ca="1">IF(OR(K34='Tabla Impacto'!$C$11,K34='Tabla Impacto'!$D$11),"Leve",IF(OR(K34='Tabla Impacto'!$C$12,K34='Tabla Impacto'!$D$12),"Menor",IF(OR(K34='Tabla Impacto'!$C$13,K34='Tabla Impacto'!$D$13),"Moderado",IF(OR(K34='Tabla Impacto'!$C$14,K34='Tabla Impacto'!$D$14),"Mayor",IF(OR(K34='Tabla Impacto'!$C$15,K34='Tabla Impacto'!$D$15),"Catastrófico","")))))</f>
        <v>Moderado</v>
      </c>
      <c r="M34" s="234">
        <f t="shared" ca="1" si="41"/>
        <v>0.6</v>
      </c>
      <c r="N34" s="235" t="str">
        <f t="shared" ca="1" si="43"/>
        <v>Moderado</v>
      </c>
      <c r="O34" s="136">
        <v>1</v>
      </c>
      <c r="P34" s="97" t="s">
        <v>379</v>
      </c>
      <c r="Q34" s="148" t="str">
        <f>IF(OR(R34="Preventivo",R34="Detectivo"),"Probabilidad",IF(R34="Correctivo","Impacto",""))</f>
        <v>Probabilidad</v>
      </c>
      <c r="R34" s="144" t="s">
        <v>152</v>
      </c>
      <c r="S34" s="144" t="s">
        <v>160</v>
      </c>
      <c r="T34" s="145" t="str">
        <f>IF(AND(R34="Preventivo",S34="Automático"),"50%",IF(AND(R34="Preventivo",S34="Manual"),"40%",IF(AND(R34="Detectivo",S34="Automático"),"40%",IF(AND(R34="Detectivo",S34="Manual"),"30%",IF(AND(R34="Correctivo",S34="Automático"),"35%",IF(AND(R34="Correctivo",S34="Manual"),"25%",""))))))</f>
        <v>40%</v>
      </c>
      <c r="U34" s="144" t="s">
        <v>163</v>
      </c>
      <c r="V34" s="144" t="s">
        <v>168</v>
      </c>
      <c r="W34" s="144" t="s">
        <v>172</v>
      </c>
      <c r="X34" s="146">
        <f>IFERROR(IF(Q34="Probabilidad",(I34-(+I34*T34)),IF(Q34="Impacto",I34,"")),"")</f>
        <v>0.24</v>
      </c>
      <c r="Y34" s="142" t="str">
        <f>IFERROR(IF(X34="","",IF(X34&lt;=0.2,"Muy Baja",IF(X34&lt;=0.4,"Baja",IF(X34&lt;=0.6,"Media",IF(X34&lt;=0.8,"Alta","Muy Alta"))))),"")</f>
        <v>Baja</v>
      </c>
      <c r="Z34" s="145">
        <f>+X34</f>
        <v>0.24</v>
      </c>
      <c r="AA34" s="142" t="str">
        <f ca="1">IFERROR(IF(AB34="","",IF(AB34&lt;=0.2,"Leve",IF(AB34&lt;=0.4,"Menor",IF(AB34&lt;=0.6,"Moderado",IF(AB34&lt;=0.8,"Mayor","Catastrófico"))))),"")</f>
        <v>Moderado</v>
      </c>
      <c r="AB34" s="145">
        <f ca="1">IFERROR(IF(Q34="Impacto",(M34-(+M34*T34)),IF(Q34="Probabilidad",M34,"")),"")</f>
        <v>0.6</v>
      </c>
      <c r="AC34" s="147" t="str">
        <f ca="1">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Moderado</v>
      </c>
      <c r="AD34" s="144" t="s">
        <v>179</v>
      </c>
      <c r="AE34" s="162" t="s">
        <v>380</v>
      </c>
      <c r="AF34" s="151" t="s">
        <v>455</v>
      </c>
      <c r="AG34" s="164">
        <v>46055</v>
      </c>
      <c r="AH34" s="164">
        <v>46374</v>
      </c>
      <c r="AI34" s="164"/>
      <c r="AJ34" s="164"/>
      <c r="AK34" s="164"/>
      <c r="AL34" s="164"/>
      <c r="AM34" s="164"/>
      <c r="AN34" s="164"/>
      <c r="AO34" s="164"/>
      <c r="AP34" s="164"/>
      <c r="AQ34" s="151"/>
      <c r="AR34" s="151"/>
    </row>
    <row r="35" spans="1:44" s="89" customFormat="1" ht="202.5" customHeight="1" x14ac:dyDescent="0.25">
      <c r="A35" s="241"/>
      <c r="B35" s="246"/>
      <c r="C35" s="243"/>
      <c r="D35" s="243"/>
      <c r="E35" s="244"/>
      <c r="F35" s="243"/>
      <c r="G35" s="245"/>
      <c r="H35" s="233"/>
      <c r="I35" s="234"/>
      <c r="J35" s="236"/>
      <c r="K35" s="234">
        <f ca="1">IF(NOT(ISERROR(MATCH(J35,_xlfn.ANCHORARRAY(E37),0))),#REF!&amp;"Por favor no seleccionar los criterios de impacto",J35)</f>
        <v>0</v>
      </c>
      <c r="L35" s="233"/>
      <c r="M35" s="234"/>
      <c r="N35" s="235"/>
      <c r="O35" s="136">
        <v>2</v>
      </c>
      <c r="P35" s="97" t="s">
        <v>366</v>
      </c>
      <c r="Q35" s="148" t="str">
        <f>IF(OR(R35="Preventivo",R35="Detectivo"),"Probabilidad",IF(R35="Correctivo","Impacto",""))</f>
        <v>Probabilidad</v>
      </c>
      <c r="R35" s="144" t="s">
        <v>152</v>
      </c>
      <c r="S35" s="144" t="s">
        <v>160</v>
      </c>
      <c r="T35" s="145" t="str">
        <f>IF(AND(R35="Preventivo",S35="Automático"),"50%",IF(AND(R35="Preventivo",S35="Manual"),"40%",IF(AND(R35="Detectivo",S35="Automático"),"40%",IF(AND(R35="Detectivo",S35="Manual"),"30%",IF(AND(R35="Correctivo",S35="Automático"),"35%",IF(AND(R35="Correctivo",S35="Manual"),"25%",""))))))</f>
        <v>40%</v>
      </c>
      <c r="U35" s="144" t="s">
        <v>163</v>
      </c>
      <c r="V35" s="144" t="s">
        <v>168</v>
      </c>
      <c r="W35" s="144" t="s">
        <v>172</v>
      </c>
      <c r="X35" s="146">
        <f>IFERROR(IF(Q35="Probabilidad",(I35-(+I35*T35)),IF(Q35="Impacto",I35,"")),"")</f>
        <v>0</v>
      </c>
      <c r="Y35" s="142" t="str">
        <f>IFERROR(IF(X35="","",IF(X35&lt;=0.2,"Muy Baja",IF(X35&lt;=0.4,"Baja",IF(X35&lt;=0.6,"Media",IF(X35&lt;=0.8,"Alta","Muy Alta"))))),"")</f>
        <v>Muy Baja</v>
      </c>
      <c r="Z35" s="145">
        <f>+X35</f>
        <v>0</v>
      </c>
      <c r="AA35" s="142" t="str">
        <f>IFERROR(IF(AB35="","",IF(AB35&lt;=0.2,"Leve",IF(AB35&lt;=0.4,"Menor",IF(AB35&lt;=0.6,"Moderado",IF(AB35&lt;=0.8,"Mayor","Catastrófico"))))),"")</f>
        <v>Leve</v>
      </c>
      <c r="AB35" s="145">
        <f>IFERROR(IF(Q35="Impacto",(M35-(+M35*T35)),IF(Q35="Probabilidad",M35,"")),"")</f>
        <v>0</v>
      </c>
      <c r="AC35" s="147" t="str">
        <f>IFERROR(IF(OR(AND(Y35="Muy Baja",AA35="Leve"),AND(Y35="Muy Baja",AA35="Menor"),AND(Y35="Baja",AA35="Leve")),"Bajo",IF(OR(AND(Y35="Muy baja",AA35="Moderado"),AND(Y35="Baja",AA35="Menor"),AND(Y35="Baja",AA35="Moderado"),AND(Y35="Media",AA35="Leve"),AND(Y35="Media",AA35="Menor"),AND(Y35="Media",AA35="Moderado"),AND(Y35="Alta",AA35="Leve"),AND(Y35="Alta",AA35="Menor")),"Moderado",IF(OR(AND(Y35="Muy Baja",AA35="Mayor"),AND(Y35="Baja",AA35="Mayor"),AND(Y35="Media",AA35="Mayor"),AND(Y35="Alta",AA35="Moderado"),AND(Y35="Alta",AA35="Mayor"),AND(Y35="Muy Alta",AA35="Leve"),AND(Y35="Muy Alta",AA35="Menor"),AND(Y35="Muy Alta",AA35="Moderado"),AND(Y35="Muy Alta",AA35="Mayor")),"Alto",IF(OR(AND(Y35="Muy Baja",AA35="Catastrófico"),AND(Y35="Baja",AA35="Catastrófico"),AND(Y35="Media",AA35="Catastrófico"),AND(Y35="Alta",AA35="Catastrófico"),AND(Y35="Muy Alta",AA35="Catastrófico")),"Extremo","")))),"")</f>
        <v>Bajo</v>
      </c>
      <c r="AD35" s="144" t="s">
        <v>179</v>
      </c>
      <c r="AE35" s="162" t="s">
        <v>420</v>
      </c>
      <c r="AF35" s="151" t="s">
        <v>455</v>
      </c>
      <c r="AG35" s="164">
        <v>46055</v>
      </c>
      <c r="AH35" s="164">
        <v>46374</v>
      </c>
      <c r="AI35" s="164"/>
      <c r="AJ35" s="164"/>
      <c r="AK35" s="164"/>
      <c r="AL35" s="164"/>
      <c r="AM35" s="164"/>
      <c r="AN35" s="164"/>
      <c r="AO35" s="164"/>
      <c r="AP35" s="164"/>
      <c r="AQ35" s="151"/>
      <c r="AR35" s="151"/>
    </row>
    <row r="36" spans="1:44" s="89" customFormat="1" ht="237.75" customHeight="1" x14ac:dyDescent="0.25">
      <c r="A36" s="157">
        <v>15</v>
      </c>
      <c r="B36" s="161" t="s">
        <v>377</v>
      </c>
      <c r="C36" s="158" t="s">
        <v>182</v>
      </c>
      <c r="D36" s="138" t="s">
        <v>250</v>
      </c>
      <c r="E36" s="160" t="s">
        <v>247</v>
      </c>
      <c r="F36" s="158" t="s">
        <v>373</v>
      </c>
      <c r="G36" s="159">
        <v>24</v>
      </c>
      <c r="H36" s="155" t="str">
        <f>IF(G36&lt;=0,"",IF(G36&lt;=2,"Muy Baja",IF(G36&lt;=24,"Baja",IF(G36&lt;=500,"Media",IF(G36&lt;=5000,"Alta","Muy Alta")))))</f>
        <v>Baja</v>
      </c>
      <c r="I36" s="137">
        <f>IF(H36="","",IF(H36="Muy Baja",0.2,IF(H36="Baja",0.4,IF(H36="Media",0.6,IF(H36="Alta",0.8,IF(H36="Muy Alta",1,))))))</f>
        <v>0.4</v>
      </c>
      <c r="J36" s="156" t="s">
        <v>136</v>
      </c>
      <c r="K36" s="137" t="str">
        <f ca="1">IF(NOT(ISERROR(MATCH(J36,'Tabla Impacto'!$B$221:$B$223,0))),'Tabla Impacto'!$F$223&amp;"Por favor no seleccionar los criterios de impacto(Afectación Económica o presupuestal y Pérdida Reputacional)",J36)</f>
        <v xml:space="preserve">     El riesgo afecta la imagen de la entidad con algunos usuarios de relevancia frente al logro de los objetivos</v>
      </c>
      <c r="L36" s="155" t="str">
        <f ca="1">IF(OR(K36='Tabla Impacto'!$C$11,K36='Tabla Impacto'!$D$11),"Leve",IF(OR(K36='Tabla Impacto'!$C$12,K36='Tabla Impacto'!$D$12),"Menor",IF(OR(K36='Tabla Impacto'!$C$13,K36='Tabla Impacto'!$D$13),"Moderado",IF(OR(K36='Tabla Impacto'!$C$14,K36='Tabla Impacto'!$D$14),"Mayor",IF(OR(K36='Tabla Impacto'!$C$15,K36='Tabla Impacto'!$D$15),"Catastrófico","")))))</f>
        <v>Moderado</v>
      </c>
      <c r="M36" s="137">
        <f t="shared" ca="1" si="41"/>
        <v>0.6</v>
      </c>
      <c r="N36" s="154" t="str">
        <f t="shared" ca="1" si="43"/>
        <v>Moderado</v>
      </c>
      <c r="O36" s="136">
        <v>1</v>
      </c>
      <c r="P36" s="97" t="s">
        <v>367</v>
      </c>
      <c r="Q36" s="148" t="str">
        <f>IF(OR(R36="Preventivo",R36="Detectivo"),"Probabilidad",IF(R36="Correctivo","Impacto",""))</f>
        <v>Probabilidad</v>
      </c>
      <c r="R36" s="144" t="s">
        <v>152</v>
      </c>
      <c r="S36" s="144" t="s">
        <v>160</v>
      </c>
      <c r="T36" s="145" t="str">
        <f>IF(AND(R36="Preventivo",S36="Automático"),"50%",IF(AND(R36="Preventivo",S36="Manual"),"40%",IF(AND(R36="Detectivo",S36="Automático"),"40%",IF(AND(R36="Detectivo",S36="Manual"),"30%",IF(AND(R36="Correctivo",S36="Automático"),"35%",IF(AND(R36="Correctivo",S36="Manual"),"25%",""))))))</f>
        <v>40%</v>
      </c>
      <c r="U36" s="144" t="s">
        <v>163</v>
      </c>
      <c r="V36" s="144" t="s">
        <v>168</v>
      </c>
      <c r="W36" s="144" t="s">
        <v>172</v>
      </c>
      <c r="X36" s="146">
        <f>IFERROR(IF(Q36="Probabilidad",(I36-(+I36*T36)),IF(Q36="Impacto",I36,"")),"")</f>
        <v>0.24</v>
      </c>
      <c r="Y36" s="142" t="str">
        <f>IFERROR(IF(X36="","",IF(X36&lt;=0.2,"Muy Baja",IF(X36&lt;=0.4,"Baja",IF(X36&lt;=0.6,"Media",IF(X36&lt;=0.8,"Alta","Muy Alta"))))),"")</f>
        <v>Baja</v>
      </c>
      <c r="Z36" s="145">
        <f>+X36</f>
        <v>0.24</v>
      </c>
      <c r="AA36" s="142" t="str">
        <f ca="1">IFERROR(IF(AB36="","",IF(AB36&lt;=0.2,"Leve",IF(AB36&lt;=0.4,"Menor",IF(AB36&lt;=0.6,"Moderado",IF(AB36&lt;=0.8,"Mayor","Catastrófico"))))),"")</f>
        <v>Moderado</v>
      </c>
      <c r="AB36" s="145">
        <f ca="1">IFERROR(IF(Q36="Impacto",(M36-(+M36*T36)),IF(Q36="Probabilidad",M36,"")),"")</f>
        <v>0.6</v>
      </c>
      <c r="AC36" s="147" t="str">
        <f ca="1">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Moderado</v>
      </c>
      <c r="AD36" s="144" t="s">
        <v>183</v>
      </c>
      <c r="AE36" s="152" t="s">
        <v>368</v>
      </c>
      <c r="AF36" s="165"/>
      <c r="AG36" s="164">
        <v>46055</v>
      </c>
      <c r="AH36" s="164">
        <v>46374</v>
      </c>
      <c r="AI36" s="164"/>
      <c r="AJ36" s="164"/>
      <c r="AK36" s="172"/>
      <c r="AL36" s="172"/>
      <c r="AM36" s="164"/>
      <c r="AN36" s="164"/>
      <c r="AO36" s="164"/>
      <c r="AP36" s="164"/>
      <c r="AQ36" s="151"/>
      <c r="AR36" s="151"/>
    </row>
    <row r="37" spans="1:44" s="89" customFormat="1" ht="119.25" customHeight="1" x14ac:dyDescent="0.25">
      <c r="A37" s="241">
        <v>16</v>
      </c>
      <c r="B37" s="242" t="s">
        <v>255</v>
      </c>
      <c r="C37" s="243" t="s">
        <v>182</v>
      </c>
      <c r="D37" s="243" t="s">
        <v>252</v>
      </c>
      <c r="E37" s="244" t="s">
        <v>251</v>
      </c>
      <c r="F37" s="243" t="s">
        <v>381</v>
      </c>
      <c r="G37" s="245">
        <v>500</v>
      </c>
      <c r="H37" s="233" t="str">
        <f>IF(G37&lt;=0,"",IF(G37&lt;=2,"Muy Baja",IF(G37&lt;=24,"Baja",IF(G37&lt;=500,"Media",IF(G37&lt;=5000,"Alta","Muy Alta")))))</f>
        <v>Media</v>
      </c>
      <c r="I37" s="234">
        <f>IF(H37="","",IF(H37="Muy Baja",0.2,IF(H37="Baja",0.4,IF(H37="Media",0.6,IF(H37="Alta",0.8,IF(H37="Muy Alta",1,))))))</f>
        <v>0.6</v>
      </c>
      <c r="J37" s="236" t="s">
        <v>137</v>
      </c>
      <c r="K37" s="234" t="str">
        <f ca="1">IF(NOT(ISERROR(MATCH(J37,'Tabla Impacto'!$B$221:$B$223,0))),'Tabla Impacto'!$F$223&amp;"Por favor no seleccionar los criterios de impacto(Afectación Económica o presupuestal y Pérdida Reputacional)",J37)</f>
        <v xml:space="preserve">     Entre 100 y 500 SMLMV </v>
      </c>
      <c r="L37" s="233" t="str">
        <f ca="1">IF(OR(K37='Tabla Impacto'!$C$11,K37='Tabla Impacto'!$D$11),"Leve",IF(OR(K37='Tabla Impacto'!$C$12,K37='Tabla Impacto'!$D$12),"Menor",IF(OR(K37='Tabla Impacto'!$C$13,K37='Tabla Impacto'!$D$13),"Moderado",IF(OR(K37='Tabla Impacto'!$C$14,K37='Tabla Impacto'!$D$14),"Mayor",IF(OR(K37='Tabla Impacto'!$C$15,K37='Tabla Impacto'!$D$15),"Catastrófico","")))))</f>
        <v>Mayor</v>
      </c>
      <c r="M37" s="234">
        <f t="shared" ca="1" si="41"/>
        <v>0.8</v>
      </c>
      <c r="N37" s="235" t="str">
        <f t="shared" ref="N37:N51" ca="1" si="44">IF(OR(AND(H37="Muy Baja",L37="Leve"),AND(H37="Muy Baja",L37="Menor"),AND(H37="Baja",L37="Leve")),"Bajo",IF(OR(AND(H37="Muy baja",L37="Moderado"),AND(H37="Baja",L37="Menor"),AND(H37="Baja",L37="Moderado"),AND(H37="Media",L37="Leve"),AND(H37="Media",L37="Menor"),AND(H37="Media",L37="Moderado"),AND(H37="Alta",L37="Leve"),AND(H37="Alta",L37="Menor")),"Moderado",IF(OR(AND(H37="Muy Baja",L37="Mayor"),AND(H37="Baja",L37="Mayor"),AND(H37="Media",L37="Mayor"),AND(H37="Alta",L37="Moderado"),AND(H37="Alta",L37="Mayor"),AND(H37="Muy Alta",L37="Leve"),AND(H37="Muy Alta",L37="Menor"),AND(H37="Muy Alta",L37="Moderado"),AND(H37="Muy Alta",L37="Mayor")),"Alto",IF(OR(AND(H37="Muy Baja",L37="Catastrófico"),AND(H37="Baja",L37="Catastrófico"),AND(H37="Media",L37="Catastrófico"),AND(H37="Alta",L37="Catastrófico"),AND(H37="Muy Alta",L37="Catastrófico")),"Extremo",""))))</f>
        <v>Alto</v>
      </c>
      <c r="O37" s="136">
        <v>1</v>
      </c>
      <c r="P37" s="97" t="s">
        <v>412</v>
      </c>
      <c r="Q37" s="148" t="str">
        <f>IF(OR(R37="Preventivo",R37="Detectivo"),"Probabilidad",IF(R37="Correctivo","Impacto",""))</f>
        <v>Probabilidad</v>
      </c>
      <c r="R37" s="144" t="s">
        <v>152</v>
      </c>
      <c r="S37" s="144" t="s">
        <v>160</v>
      </c>
      <c r="T37" s="145" t="str">
        <f>IF(AND(R37="Preventivo",S37="Automático"),"50%",IF(AND(R37="Preventivo",S37="Manual"),"40%",IF(AND(R37="Detectivo",S37="Automático"),"40%",IF(AND(R37="Detectivo",S37="Manual"),"30%",IF(AND(R37="Correctivo",S37="Automático"),"35%",IF(AND(R37="Correctivo",S37="Manual"),"25%",""))))))</f>
        <v>40%</v>
      </c>
      <c r="U37" s="144" t="s">
        <v>163</v>
      </c>
      <c r="V37" s="144" t="s">
        <v>168</v>
      </c>
      <c r="W37" s="144" t="s">
        <v>172</v>
      </c>
      <c r="X37" s="146">
        <f>IFERROR(IF(Q37="Probabilidad",(I37-(+I37*T37)),IF(Q37="Impacto",I37,"")),"")</f>
        <v>0.36</v>
      </c>
      <c r="Y37" s="142" t="str">
        <f>IFERROR(IF(X37="","",IF(X37&lt;=0.2,"Muy Baja",IF(X37&lt;=0.4,"Baja",IF(X37&lt;=0.6,"Media",IF(X37&lt;=0.8,"Alta","Muy Alta"))))),"")</f>
        <v>Baja</v>
      </c>
      <c r="Z37" s="145">
        <f>+X37</f>
        <v>0.36</v>
      </c>
      <c r="AA37" s="142" t="str">
        <f ca="1">IFERROR(IF(AB37="","",IF(AB37&lt;=0.2,"Leve",IF(AB37&lt;=0.4,"Menor",IF(AB37&lt;=0.6,"Moderado",IF(AB37&lt;=0.8,"Mayor","Catastrófico"))))),"")</f>
        <v>Mayor</v>
      </c>
      <c r="AB37" s="145">
        <f ca="1">IFERROR(IF(Q37="Impacto",(M37-(+M37*T37)),IF(Q37="Probabilidad",M37,"")),"")</f>
        <v>0.8</v>
      </c>
      <c r="AC37" s="147" t="str">
        <f ca="1">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Alto</v>
      </c>
      <c r="AD37" s="144" t="s">
        <v>179</v>
      </c>
      <c r="AE37" s="152" t="s">
        <v>253</v>
      </c>
      <c r="AF37" s="151" t="s">
        <v>454</v>
      </c>
      <c r="AG37" s="164">
        <v>46055</v>
      </c>
      <c r="AH37" s="164">
        <v>46374</v>
      </c>
      <c r="AI37" s="164"/>
      <c r="AJ37" s="164"/>
      <c r="AK37" s="164"/>
      <c r="AL37" s="164"/>
      <c r="AM37" s="174"/>
      <c r="AN37" s="164"/>
      <c r="AO37" s="164"/>
      <c r="AP37" s="164"/>
      <c r="AQ37" s="151"/>
      <c r="AR37" s="151"/>
    </row>
    <row r="38" spans="1:44" s="89" customFormat="1" ht="124.5" customHeight="1" x14ac:dyDescent="0.25">
      <c r="A38" s="241"/>
      <c r="B38" s="242"/>
      <c r="C38" s="243"/>
      <c r="D38" s="243"/>
      <c r="E38" s="244"/>
      <c r="F38" s="243"/>
      <c r="G38" s="245"/>
      <c r="H38" s="233"/>
      <c r="I38" s="234"/>
      <c r="J38" s="236"/>
      <c r="K38" s="234">
        <f ca="1">IF(NOT(ISERROR(MATCH(J38,_xlfn.ANCHORARRAY(E40),0))),#REF!&amp;"Por favor no seleccionar los criterios de impacto",J38)</f>
        <v>0</v>
      </c>
      <c r="L38" s="233"/>
      <c r="M38" s="234"/>
      <c r="N38" s="235"/>
      <c r="O38" s="136">
        <v>2</v>
      </c>
      <c r="P38" s="97" t="s">
        <v>413</v>
      </c>
      <c r="Q38" s="148" t="str">
        <f t="shared" ref="Q38" si="45">IF(OR(R38="Preventivo",R38="Detectivo"),"Probabilidad",IF(R38="Correctivo","Impacto",""))</f>
        <v>Probabilidad</v>
      </c>
      <c r="R38" s="144" t="s">
        <v>152</v>
      </c>
      <c r="S38" s="144" t="s">
        <v>160</v>
      </c>
      <c r="T38" s="145" t="str">
        <f t="shared" ref="T38" si="46">IF(AND(R38="Preventivo",S38="Automático"),"50%",IF(AND(R38="Preventivo",S38="Manual"),"40%",IF(AND(R38="Detectivo",S38="Automático"),"40%",IF(AND(R38="Detectivo",S38="Manual"),"30%",IF(AND(R38="Correctivo",S38="Automático"),"35%",IF(AND(R38="Correctivo",S38="Manual"),"25%",""))))))</f>
        <v>40%</v>
      </c>
      <c r="U38" s="144" t="s">
        <v>163</v>
      </c>
      <c r="V38" s="144" t="s">
        <v>168</v>
      </c>
      <c r="W38" s="144" t="s">
        <v>172</v>
      </c>
      <c r="X38" s="146">
        <f t="shared" ref="X38" si="47">IFERROR(IF(Q38="Probabilidad",(I38-(+I38*T38)),IF(Q38="Impacto",I38,"")),"")</f>
        <v>0</v>
      </c>
      <c r="Y38" s="142" t="str">
        <f t="shared" ref="Y38" si="48">IFERROR(IF(X38="","",IF(X38&lt;=0.2,"Muy Baja",IF(X38&lt;=0.4,"Baja",IF(X38&lt;=0.6,"Media",IF(X38&lt;=0.8,"Alta","Muy Alta"))))),"")</f>
        <v>Muy Baja</v>
      </c>
      <c r="Z38" s="145">
        <f t="shared" ref="Z38" si="49">+X38</f>
        <v>0</v>
      </c>
      <c r="AA38" s="142" t="str">
        <f t="shared" ref="AA38" si="50">IFERROR(IF(AB38="","",IF(AB38&lt;=0.2,"Leve",IF(AB38&lt;=0.4,"Menor",IF(AB38&lt;=0.6,"Moderado",IF(AB38&lt;=0.8,"Mayor","Catastrófico"))))),"")</f>
        <v>Leve</v>
      </c>
      <c r="AB38" s="145">
        <f t="shared" ref="AB38" si="51">IFERROR(IF(Q38="Impacto",(M38-(+M38*T38)),IF(Q38="Probabilidad",M38,"")),"")</f>
        <v>0</v>
      </c>
      <c r="AC38" s="147" t="str">
        <f t="shared" ref="AC38" si="52">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Bajo</v>
      </c>
      <c r="AD38" s="144" t="s">
        <v>179</v>
      </c>
      <c r="AE38" s="152" t="s">
        <v>254</v>
      </c>
      <c r="AF38" s="151" t="s">
        <v>454</v>
      </c>
      <c r="AG38" s="164">
        <v>46055</v>
      </c>
      <c r="AH38" s="164">
        <v>46374</v>
      </c>
      <c r="AI38" s="164"/>
      <c r="AJ38" s="164"/>
      <c r="AK38" s="164"/>
      <c r="AL38" s="164"/>
      <c r="AM38" s="174"/>
      <c r="AN38" s="164"/>
      <c r="AO38" s="164"/>
      <c r="AP38" s="164"/>
      <c r="AQ38" s="151"/>
      <c r="AR38" s="151"/>
    </row>
    <row r="39" spans="1:44" s="89" customFormat="1" ht="176.25" customHeight="1" x14ac:dyDescent="0.25">
      <c r="A39" s="157">
        <v>17</v>
      </c>
      <c r="B39" s="136" t="s">
        <v>256</v>
      </c>
      <c r="C39" s="158" t="s">
        <v>182</v>
      </c>
      <c r="D39" s="158" t="s">
        <v>260</v>
      </c>
      <c r="E39" s="160" t="s">
        <v>257</v>
      </c>
      <c r="F39" s="158" t="s">
        <v>370</v>
      </c>
      <c r="G39" s="159">
        <v>500</v>
      </c>
      <c r="H39" s="155" t="str">
        <f>IF(G39&lt;=0,"",IF(G39&lt;=2,"Muy Baja",IF(G39&lt;=24,"Baja",IF(G39&lt;=500,"Media",IF(G39&lt;=5000,"Alta","Muy Alta")))))</f>
        <v>Media</v>
      </c>
      <c r="I39" s="137">
        <f>IF(H39="","",IF(H39="Muy Baja",0.2,IF(H39="Baja",0.4,IF(H39="Media",0.6,IF(H39="Alta",0.8,IF(H39="Muy Alta",1,))))))</f>
        <v>0.6</v>
      </c>
      <c r="J39" s="156" t="s">
        <v>135</v>
      </c>
      <c r="K39" s="137" t="str">
        <f ca="1">IF(NOT(ISERROR(MATCH(J39,'Tabla Impacto'!$B$221:$B$223,0))),'Tabla Impacto'!$F$223&amp;"Por favor no seleccionar los criterios de impacto(Afectación Económica o presupuestal y Pérdida Reputacional)",J39)</f>
        <v xml:space="preserve">     Entre 50 y 100 SMLMV </v>
      </c>
      <c r="L39" s="155" t="str">
        <f ca="1">IF(OR(K39='Tabla Impacto'!$C$11,K39='Tabla Impacto'!$D$11),"Leve",IF(OR(K39='Tabla Impacto'!$C$12,K39='Tabla Impacto'!$D$12),"Menor",IF(OR(K39='Tabla Impacto'!$C$13,K39='Tabla Impacto'!$D$13),"Moderado",IF(OR(K39='Tabla Impacto'!$C$14,K39='Tabla Impacto'!$D$14),"Mayor",IF(OR(K39='Tabla Impacto'!$C$15,K39='Tabla Impacto'!$D$15),"Catastrófico","")))))</f>
        <v>Moderado</v>
      </c>
      <c r="M39" s="137">
        <f t="shared" ca="1" si="41"/>
        <v>0.6</v>
      </c>
      <c r="N39" s="154" t="str">
        <f t="shared" ca="1" si="44"/>
        <v>Moderado</v>
      </c>
      <c r="O39" s="136">
        <v>1</v>
      </c>
      <c r="P39" s="99" t="s">
        <v>263</v>
      </c>
      <c r="Q39" s="148" t="str">
        <f>IF(OR(R39="Preventivo",R39="Detectivo"),"Probabilidad",IF(R39="Correctivo","Impacto",""))</f>
        <v>Probabilidad</v>
      </c>
      <c r="R39" s="144" t="s">
        <v>152</v>
      </c>
      <c r="S39" s="144" t="s">
        <v>160</v>
      </c>
      <c r="T39" s="145" t="str">
        <f>IF(AND(R39="Preventivo",S39="Automático"),"50%",IF(AND(R39="Preventivo",S39="Manual"),"40%",IF(AND(R39="Detectivo",S39="Automático"),"40%",IF(AND(R39="Detectivo",S39="Manual"),"30%",IF(AND(R39="Correctivo",S39="Automático"),"35%",IF(AND(R39="Correctivo",S39="Manual"),"25%",""))))))</f>
        <v>40%</v>
      </c>
      <c r="U39" s="144" t="s">
        <v>163</v>
      </c>
      <c r="V39" s="144" t="s">
        <v>168</v>
      </c>
      <c r="W39" s="144" t="s">
        <v>172</v>
      </c>
      <c r="X39" s="146">
        <f>IFERROR(IF(Q39="Probabilidad",(I39-(+I39*T39)),IF(Q39="Impacto",I39,"")),"")</f>
        <v>0.36</v>
      </c>
      <c r="Y39" s="142" t="str">
        <f>IFERROR(IF(X39="","",IF(X39&lt;=0.2,"Muy Baja",IF(X39&lt;=0.4,"Baja",IF(X39&lt;=0.6,"Media",IF(X39&lt;=0.8,"Alta","Muy Alta"))))),"")</f>
        <v>Baja</v>
      </c>
      <c r="Z39" s="145">
        <f>+X39</f>
        <v>0.36</v>
      </c>
      <c r="AA39" s="142" t="str">
        <f ca="1">IFERROR(IF(AB39="","",IF(AB39&lt;=0.2,"Leve",IF(AB39&lt;=0.4,"Menor",IF(AB39&lt;=0.6,"Moderado",IF(AB39&lt;=0.8,"Mayor","Catastrófico"))))),"")</f>
        <v>Moderado</v>
      </c>
      <c r="AB39" s="145">
        <f ca="1">IFERROR(IF(Q39="Impacto",(M39-(+M39*T39)),IF(Q39="Probabilidad",M39,"")),"")</f>
        <v>0.6</v>
      </c>
      <c r="AC39" s="147" t="str">
        <f ca="1">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Moderado</v>
      </c>
      <c r="AD39" s="144" t="s">
        <v>179</v>
      </c>
      <c r="AE39" s="152" t="s">
        <v>446</v>
      </c>
      <c r="AF39" s="151" t="s">
        <v>456</v>
      </c>
      <c r="AG39" s="164">
        <v>46055</v>
      </c>
      <c r="AH39" s="164">
        <v>46374</v>
      </c>
      <c r="AI39" s="164"/>
      <c r="AJ39" s="164"/>
      <c r="AK39" s="164"/>
      <c r="AL39" s="164"/>
      <c r="AM39" s="164"/>
      <c r="AN39" s="164"/>
      <c r="AO39" s="164"/>
      <c r="AP39" s="164"/>
      <c r="AQ39" s="151"/>
      <c r="AR39" s="151"/>
    </row>
    <row r="40" spans="1:44" s="89" customFormat="1" ht="147.75" customHeight="1" x14ac:dyDescent="0.25">
      <c r="A40" s="241">
        <v>18</v>
      </c>
      <c r="B40" s="242" t="s">
        <v>256</v>
      </c>
      <c r="C40" s="243" t="s">
        <v>182</v>
      </c>
      <c r="D40" s="243" t="s">
        <v>261</v>
      </c>
      <c r="E40" s="244" t="s">
        <v>258</v>
      </c>
      <c r="F40" s="243" t="s">
        <v>370</v>
      </c>
      <c r="G40" s="245">
        <v>500</v>
      </c>
      <c r="H40" s="233" t="str">
        <f>IF(G40&lt;=0,"",IF(G40&lt;=2,"Muy Baja",IF(G40&lt;=24,"Baja",IF(G40&lt;=500,"Media",IF(G40&lt;=5000,"Alta","Muy Alta")))))</f>
        <v>Media</v>
      </c>
      <c r="I40" s="234">
        <f>IF(H40="","",IF(H40="Muy Baja",0.2,IF(H40="Baja",0.4,IF(H40="Media",0.6,IF(H40="Alta",0.8,IF(H40="Muy Alta",1,))))))</f>
        <v>0.6</v>
      </c>
      <c r="J40" s="236" t="s">
        <v>137</v>
      </c>
      <c r="K40" s="234" t="str">
        <f ca="1">IF(NOT(ISERROR(MATCH(J40,'Tabla Impacto'!$B$221:$B$223,0))),'Tabla Impacto'!$F$223&amp;"Por favor no seleccionar los criterios de impacto(Afectación Económica o presupuestal y Pérdida Reputacional)",J40)</f>
        <v xml:space="preserve">     Entre 100 y 500 SMLMV </v>
      </c>
      <c r="L40" s="233" t="str">
        <f ca="1">IF(OR(K40='Tabla Impacto'!$C$11,K40='Tabla Impacto'!$D$11),"Leve",IF(OR(K40='Tabla Impacto'!$C$12,K40='Tabla Impacto'!$D$12),"Menor",IF(OR(K40='Tabla Impacto'!$C$13,K40='Tabla Impacto'!$D$13),"Moderado",IF(OR(K40='Tabla Impacto'!$C$14,K40='Tabla Impacto'!$D$14),"Mayor",IF(OR(K40='Tabla Impacto'!$C$15,K40='Tabla Impacto'!$D$15),"Catastrófico","")))))</f>
        <v>Mayor</v>
      </c>
      <c r="M40" s="234">
        <f t="shared" ca="1" si="41"/>
        <v>0.8</v>
      </c>
      <c r="N40" s="235" t="str">
        <f t="shared" ca="1" si="44"/>
        <v>Alto</v>
      </c>
      <c r="O40" s="136">
        <v>1</v>
      </c>
      <c r="P40" s="97" t="s">
        <v>362</v>
      </c>
      <c r="Q40" s="148" t="str">
        <f>IF(OR(R40="Preventivo",R40="Detectivo"),"Probabilidad",IF(R40="Correctivo","Impacto",""))</f>
        <v>Probabilidad</v>
      </c>
      <c r="R40" s="144" t="s">
        <v>152</v>
      </c>
      <c r="S40" s="144" t="s">
        <v>160</v>
      </c>
      <c r="T40" s="145" t="str">
        <f>IF(AND(R40="Preventivo",S40="Automático"),"50%",IF(AND(R40="Preventivo",S40="Manual"),"40%",IF(AND(R40="Detectivo",S40="Automático"),"40%",IF(AND(R40="Detectivo",S40="Manual"),"30%",IF(AND(R40="Correctivo",S40="Automático"),"35%",IF(AND(R40="Correctivo",S40="Manual"),"25%",""))))))</f>
        <v>40%</v>
      </c>
      <c r="U40" s="144" t="s">
        <v>163</v>
      </c>
      <c r="V40" s="144" t="s">
        <v>168</v>
      </c>
      <c r="W40" s="144" t="s">
        <v>172</v>
      </c>
      <c r="X40" s="146">
        <f>IFERROR(IF(Q40="Probabilidad",(I40-(+I40*T40)),IF(Q40="Impacto",I40,"")),"")</f>
        <v>0.36</v>
      </c>
      <c r="Y40" s="142" t="str">
        <f>IFERROR(IF(X40="","",IF(X40&lt;=0.2,"Muy Baja",IF(X40&lt;=0.4,"Baja",IF(X40&lt;=0.6,"Media",IF(X40&lt;=0.8,"Alta","Muy Alta"))))),"")</f>
        <v>Baja</v>
      </c>
      <c r="Z40" s="145">
        <f>+X40</f>
        <v>0.36</v>
      </c>
      <c r="AA40" s="142" t="str">
        <f ca="1">IFERROR(IF(AB40="","",IF(AB40&lt;=0.2,"Leve",IF(AB40&lt;=0.4,"Menor",IF(AB40&lt;=0.6,"Moderado",IF(AB40&lt;=0.8,"Mayor","Catastrófico"))))),"")</f>
        <v>Mayor</v>
      </c>
      <c r="AB40" s="145">
        <f ca="1">IFERROR(IF(Q40="Impacto",(M40-(+M40*T40)),IF(Q40="Probabilidad",M40,"")),"")</f>
        <v>0.8</v>
      </c>
      <c r="AC40" s="147" t="str">
        <f ca="1">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Alto</v>
      </c>
      <c r="AD40" s="144" t="s">
        <v>179</v>
      </c>
      <c r="AE40" s="152" t="s">
        <v>382</v>
      </c>
      <c r="AF40" s="151" t="s">
        <v>456</v>
      </c>
      <c r="AG40" s="164">
        <v>46055</v>
      </c>
      <c r="AH40" s="164">
        <v>46374</v>
      </c>
      <c r="AI40" s="164"/>
      <c r="AJ40" s="164"/>
      <c r="AK40" s="164"/>
      <c r="AL40" s="164"/>
      <c r="AM40" s="164"/>
      <c r="AN40" s="164"/>
      <c r="AO40" s="164"/>
      <c r="AP40" s="164"/>
      <c r="AQ40" s="151"/>
      <c r="AR40" s="151"/>
    </row>
    <row r="41" spans="1:44" s="89" customFormat="1" ht="150" customHeight="1" x14ac:dyDescent="0.25">
      <c r="A41" s="241"/>
      <c r="B41" s="242"/>
      <c r="C41" s="243"/>
      <c r="D41" s="243" t="s">
        <v>262</v>
      </c>
      <c r="E41" s="244"/>
      <c r="F41" s="243"/>
      <c r="G41" s="245"/>
      <c r="H41" s="233"/>
      <c r="I41" s="234"/>
      <c r="J41" s="236"/>
      <c r="K41" s="234">
        <f ca="1">IF(NOT(ISERROR(MATCH(J41,_xlfn.ANCHORARRAY(E44),0))),#REF!&amp;"Por favor no seleccionar los criterios de impacto",J41)</f>
        <v>0</v>
      </c>
      <c r="L41" s="233"/>
      <c r="M41" s="234"/>
      <c r="N41" s="235"/>
      <c r="O41" s="136">
        <v>2</v>
      </c>
      <c r="P41" s="97" t="s">
        <v>383</v>
      </c>
      <c r="Q41" s="148"/>
      <c r="R41" s="144"/>
      <c r="S41" s="144"/>
      <c r="T41" s="145"/>
      <c r="U41" s="144"/>
      <c r="V41" s="144"/>
      <c r="W41" s="144"/>
      <c r="X41" s="146"/>
      <c r="Y41" s="142"/>
      <c r="Z41" s="145"/>
      <c r="AA41" s="142"/>
      <c r="AB41" s="145"/>
      <c r="AC41" s="147"/>
      <c r="AD41" s="144"/>
      <c r="AE41" s="152" t="s">
        <v>384</v>
      </c>
      <c r="AF41" s="151" t="s">
        <v>456</v>
      </c>
      <c r="AG41" s="164">
        <v>46055</v>
      </c>
      <c r="AH41" s="164">
        <v>46374</v>
      </c>
      <c r="AI41" s="164"/>
      <c r="AJ41" s="164"/>
      <c r="AK41" s="164"/>
      <c r="AL41" s="164"/>
      <c r="AM41" s="164"/>
      <c r="AN41" s="164"/>
      <c r="AO41" s="164"/>
      <c r="AP41" s="164"/>
      <c r="AQ41" s="151"/>
      <c r="AR41" s="151"/>
    </row>
    <row r="42" spans="1:44" s="89" customFormat="1" ht="182.25" customHeight="1" x14ac:dyDescent="0.25">
      <c r="A42" s="241">
        <v>19</v>
      </c>
      <c r="B42" s="242" t="s">
        <v>256</v>
      </c>
      <c r="C42" s="243" t="s">
        <v>182</v>
      </c>
      <c r="D42" s="243" t="s">
        <v>361</v>
      </c>
      <c r="E42" s="244" t="s">
        <v>259</v>
      </c>
      <c r="F42" s="243" t="s">
        <v>370</v>
      </c>
      <c r="G42" s="245">
        <v>24</v>
      </c>
      <c r="H42" s="233" t="str">
        <f>IF(G42&lt;=0,"",IF(G42&lt;=2,"Muy Baja",IF(G42&lt;=24,"Baja",IF(G42&lt;=500,"Media",IF(G42&lt;=5000,"Alta","Muy Alta")))))</f>
        <v>Baja</v>
      </c>
      <c r="I42" s="234">
        <f>IF(H42="","",IF(H42="Muy Baja",0.2,IF(H42="Baja",0.4,IF(H42="Media",0.6,IF(H42="Alta",0.8,IF(H42="Muy Alta",1,))))))</f>
        <v>0.4</v>
      </c>
      <c r="J42" s="236" t="s">
        <v>133</v>
      </c>
      <c r="K42" s="234" t="str">
        <f ca="1">IF(NOT(ISERROR(MATCH(J42,'Tabla Impacto'!$B$221:$B$223,0))),'Tabla Impacto'!$F$223&amp;"Por favor no seleccionar los criterios de impacto(Afectación Económica o presupuestal y Pérdida Reputacional)",J42)</f>
        <v xml:space="preserve">     Entre 10 y 50 SMLMV </v>
      </c>
      <c r="L42" s="233" t="str">
        <f ca="1">IF(OR(K42='Tabla Impacto'!$C$11,K42='Tabla Impacto'!$D$11),"Leve",IF(OR(K42='Tabla Impacto'!$C$12,K42='Tabla Impacto'!$D$12),"Menor",IF(OR(K42='Tabla Impacto'!$C$13,K42='Tabla Impacto'!$D$13),"Moderado",IF(OR(K42='Tabla Impacto'!$C$14,K42='Tabla Impacto'!$D$14),"Mayor",IF(OR(K42='Tabla Impacto'!$C$15,K42='Tabla Impacto'!$D$15),"Catastrófico","")))))</f>
        <v>Menor</v>
      </c>
      <c r="M42" s="234">
        <f t="shared" ca="1" si="41"/>
        <v>0.4</v>
      </c>
      <c r="N42" s="235" t="str">
        <f t="shared" ca="1" si="44"/>
        <v>Moderado</v>
      </c>
      <c r="O42" s="136">
        <v>1</v>
      </c>
      <c r="P42" s="97" t="s">
        <v>385</v>
      </c>
      <c r="Q42" s="148" t="str">
        <f>IF(OR(R42="Preventivo",R42="Detectivo"),"Probabilidad",IF(R42="Correctivo","Impacto",""))</f>
        <v>Probabilidad</v>
      </c>
      <c r="R42" s="144" t="s">
        <v>152</v>
      </c>
      <c r="S42" s="144" t="s">
        <v>160</v>
      </c>
      <c r="T42" s="145" t="str">
        <f>IF(AND(R42="Preventivo",S42="Automático"),"50%",IF(AND(R42="Preventivo",S42="Manual"),"40%",IF(AND(R42="Detectivo",S42="Automático"),"40%",IF(AND(R42="Detectivo",S42="Manual"),"30%",IF(AND(R42="Correctivo",S42="Automático"),"35%",IF(AND(R42="Correctivo",S42="Manual"),"25%",""))))))</f>
        <v>40%</v>
      </c>
      <c r="U42" s="144" t="s">
        <v>163</v>
      </c>
      <c r="V42" s="144" t="s">
        <v>168</v>
      </c>
      <c r="W42" s="144" t="s">
        <v>172</v>
      </c>
      <c r="X42" s="146">
        <f>IFERROR(IF(Q42="Probabilidad",(I42-(+I42*T42)),IF(Q42="Impacto",I42,"")),"")</f>
        <v>0.24</v>
      </c>
      <c r="Y42" s="142" t="str">
        <f>IFERROR(IF(X42="","",IF(X42&lt;=0.2,"Muy Baja",IF(X42&lt;=0.4,"Baja",IF(X42&lt;=0.6,"Media",IF(X42&lt;=0.8,"Alta","Muy Alta"))))),"")</f>
        <v>Baja</v>
      </c>
      <c r="Z42" s="145">
        <f>+X42</f>
        <v>0.24</v>
      </c>
      <c r="AA42" s="142" t="str">
        <f ca="1">IFERROR(IF(AB42="","",IF(AB42&lt;=0.2,"Leve",IF(AB42&lt;=0.4,"Menor",IF(AB42&lt;=0.6,"Moderado",IF(AB42&lt;=0.8,"Mayor","Catastrófico"))))),"")</f>
        <v>Menor</v>
      </c>
      <c r="AB42" s="145">
        <f ca="1">IFERROR(IF(Q42="Impacto",(M42-(+M42*T42)),IF(Q42="Probabilidad",M42,"")),"")</f>
        <v>0.4</v>
      </c>
      <c r="AC42" s="147" t="str">
        <f ca="1">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Moderado</v>
      </c>
      <c r="AD42" s="144" t="s">
        <v>179</v>
      </c>
      <c r="AE42" s="152" t="s">
        <v>359</v>
      </c>
      <c r="AF42" s="151" t="s">
        <v>456</v>
      </c>
      <c r="AG42" s="164">
        <v>46055</v>
      </c>
      <c r="AH42" s="164">
        <v>46374</v>
      </c>
      <c r="AI42" s="164"/>
      <c r="AJ42" s="164"/>
      <c r="AK42" s="164"/>
      <c r="AL42" s="164"/>
      <c r="AM42" s="164"/>
      <c r="AN42" s="164"/>
      <c r="AO42" s="164"/>
      <c r="AP42" s="164"/>
      <c r="AQ42" s="151"/>
      <c r="AR42" s="151"/>
    </row>
    <row r="43" spans="1:44" s="89" customFormat="1" ht="183" customHeight="1" x14ac:dyDescent="0.25">
      <c r="A43" s="241"/>
      <c r="B43" s="242"/>
      <c r="C43" s="243"/>
      <c r="D43" s="243" t="s">
        <v>261</v>
      </c>
      <c r="E43" s="244"/>
      <c r="F43" s="243"/>
      <c r="G43" s="245"/>
      <c r="H43" s="233"/>
      <c r="I43" s="234"/>
      <c r="J43" s="236"/>
      <c r="K43" s="234">
        <f ca="1">IF(NOT(ISERROR(MATCH(J43,_xlfn.ANCHORARRAY(E45),0))),#REF!&amp;"Por favor no seleccionar los criterios de impacto",J43)</f>
        <v>0</v>
      </c>
      <c r="L43" s="233"/>
      <c r="M43" s="234"/>
      <c r="N43" s="235"/>
      <c r="O43" s="136">
        <v>2</v>
      </c>
      <c r="P43" s="97" t="s">
        <v>386</v>
      </c>
      <c r="Q43" s="148"/>
      <c r="R43" s="144"/>
      <c r="S43" s="144"/>
      <c r="T43" s="145"/>
      <c r="U43" s="144"/>
      <c r="V43" s="144"/>
      <c r="W43" s="144"/>
      <c r="X43" s="146"/>
      <c r="Y43" s="142"/>
      <c r="Z43" s="145"/>
      <c r="AA43" s="142"/>
      <c r="AB43" s="145"/>
      <c r="AC43" s="147"/>
      <c r="AD43" s="144"/>
      <c r="AE43" s="152" t="s">
        <v>363</v>
      </c>
      <c r="AF43" s="151" t="s">
        <v>456</v>
      </c>
      <c r="AG43" s="164">
        <v>46055</v>
      </c>
      <c r="AH43" s="164">
        <v>46374</v>
      </c>
      <c r="AI43" s="164"/>
      <c r="AJ43" s="164"/>
      <c r="AK43" s="164"/>
      <c r="AL43" s="164"/>
      <c r="AM43" s="164"/>
      <c r="AN43" s="164"/>
      <c r="AO43" s="164"/>
      <c r="AP43" s="164"/>
      <c r="AQ43" s="151"/>
      <c r="AR43" s="151"/>
    </row>
    <row r="44" spans="1:44" s="89" customFormat="1" ht="99.75" customHeight="1" x14ac:dyDescent="0.25">
      <c r="A44" s="157">
        <v>20</v>
      </c>
      <c r="B44" s="136" t="s">
        <v>256</v>
      </c>
      <c r="C44" s="158" t="s">
        <v>182</v>
      </c>
      <c r="D44" s="158" t="s">
        <v>262</v>
      </c>
      <c r="E44" s="160" t="s">
        <v>360</v>
      </c>
      <c r="F44" s="158" t="s">
        <v>370</v>
      </c>
      <c r="G44" s="159">
        <v>24</v>
      </c>
      <c r="H44" s="155" t="str">
        <f>IF(G44&lt;=0,"",IF(G44&lt;=2,"Muy Baja",IF(G44&lt;=24,"Baja",IF(G44&lt;=500,"Media",IF(G44&lt;=5000,"Alta","Muy Alta")))))</f>
        <v>Baja</v>
      </c>
      <c r="I44" s="137">
        <f>IF(H44="","",IF(H44="Muy Baja",0.2,IF(H44="Baja",0.4,IF(H44="Media",0.6,IF(H44="Alta",0.8,IF(H44="Muy Alta",1,))))))</f>
        <v>0.4</v>
      </c>
      <c r="J44" s="156" t="s">
        <v>133</v>
      </c>
      <c r="K44" s="137" t="str">
        <f ca="1">IF(NOT(ISERROR(MATCH(J44,'Tabla Impacto'!$B$221:$B$223,0))),'Tabla Impacto'!$F$223&amp;"Por favor no seleccionar los criterios de impacto(Afectación Económica o presupuestal y Pérdida Reputacional)",J44)</f>
        <v xml:space="preserve">     Entre 10 y 50 SMLMV </v>
      </c>
      <c r="L44" s="155" t="str">
        <f ca="1">IF(OR(K44='Tabla Impacto'!$C$11,K44='Tabla Impacto'!$D$11),"Leve",IF(OR(K44='Tabla Impacto'!$C$12,K44='Tabla Impacto'!$D$12),"Menor",IF(OR(K44='Tabla Impacto'!$C$13,K44='Tabla Impacto'!$D$13),"Moderado",IF(OR(K44='Tabla Impacto'!$C$14,K44='Tabla Impacto'!$D$14),"Mayor",IF(OR(K44='Tabla Impacto'!$C$15,K44='Tabla Impacto'!$D$15),"Catastrófico","")))))</f>
        <v>Menor</v>
      </c>
      <c r="M44" s="137">
        <f t="shared" ref="M44" ca="1" si="53">IF(L44="","",IF(L44="Leve",0.2,IF(L44="Menor",0.4,IF(L44="Moderado",0.6,IF(L44="Mayor",0.8,IF(L44="Catastrófico",1,))))))</f>
        <v>0.4</v>
      </c>
      <c r="N44" s="154" t="str">
        <f t="shared" ca="1" si="44"/>
        <v>Moderado</v>
      </c>
      <c r="O44" s="136">
        <v>1</v>
      </c>
      <c r="P44" s="97" t="s">
        <v>387</v>
      </c>
      <c r="Q44" s="148" t="str">
        <f>IF(OR(R44="Preventivo",R44="Detectivo"),"Probabilidad",IF(R44="Correctivo","Impacto",""))</f>
        <v>Probabilidad</v>
      </c>
      <c r="R44" s="144" t="s">
        <v>152</v>
      </c>
      <c r="S44" s="144" t="s">
        <v>160</v>
      </c>
      <c r="T44" s="145" t="str">
        <f>IF(AND(R44="Preventivo",S44="Automático"),"50%",IF(AND(R44="Preventivo",S44="Manual"),"40%",IF(AND(R44="Detectivo",S44="Automático"),"40%",IF(AND(R44="Detectivo",S44="Manual"),"30%",IF(AND(R44="Correctivo",S44="Automático"),"35%",IF(AND(R44="Correctivo",S44="Manual"),"25%",""))))))</f>
        <v>40%</v>
      </c>
      <c r="U44" s="144" t="s">
        <v>163</v>
      </c>
      <c r="V44" s="144" t="s">
        <v>168</v>
      </c>
      <c r="W44" s="144" t="s">
        <v>172</v>
      </c>
      <c r="X44" s="146">
        <f>IFERROR(IF(Q44="Probabilidad",(I44-(+I44*T44)),IF(Q44="Impacto",I44,"")),"")</f>
        <v>0.24</v>
      </c>
      <c r="Y44" s="142" t="str">
        <f>IFERROR(IF(X44="","",IF(X44&lt;=0.2,"Muy Baja",IF(X44&lt;=0.4,"Baja",IF(X44&lt;=0.6,"Media",IF(X44&lt;=0.8,"Alta","Muy Alta"))))),"")</f>
        <v>Baja</v>
      </c>
      <c r="Z44" s="145">
        <f>+X44</f>
        <v>0.24</v>
      </c>
      <c r="AA44" s="142" t="str">
        <f ca="1">IFERROR(IF(AB44="","",IF(AB44&lt;=0.2,"Leve",IF(AB44&lt;=0.4,"Menor",IF(AB44&lt;=0.6,"Moderado",IF(AB44&lt;=0.8,"Mayor","Catastrófico"))))),"")</f>
        <v>Menor</v>
      </c>
      <c r="AB44" s="145">
        <f ca="1">IFERROR(IF(Q44="Impacto",(M44-(+M44*T44)),IF(Q44="Probabilidad",M44,"")),"")</f>
        <v>0.4</v>
      </c>
      <c r="AC44" s="147" t="str">
        <f ca="1">IFERROR(IF(OR(AND(Y44="Muy Baja",AA44="Leve"),AND(Y44="Muy Baja",AA44="Menor"),AND(Y44="Baja",AA44="Leve")),"Bajo",IF(OR(AND(Y44="Muy baja",AA44="Moderado"),AND(Y44="Baja",AA44="Menor"),AND(Y44="Baja",AA44="Moderado"),AND(Y44="Media",AA44="Leve"),AND(Y44="Media",AA44="Menor"),AND(Y44="Media",AA44="Moderado"),AND(Y44="Alta",AA44="Leve"),AND(Y44="Alta",AA44="Menor")),"Moderado",IF(OR(AND(Y44="Muy Baja",AA44="Mayor"),AND(Y44="Baja",AA44="Mayor"),AND(Y44="Media",AA44="Mayor"),AND(Y44="Alta",AA44="Moderado"),AND(Y44="Alta",AA44="Mayor"),AND(Y44="Muy Alta",AA44="Leve"),AND(Y44="Muy Alta",AA44="Menor"),AND(Y44="Muy Alta",AA44="Moderado"),AND(Y44="Muy Alta",AA44="Mayor")),"Alto",IF(OR(AND(Y44="Muy Baja",AA44="Catastrófico"),AND(Y44="Baja",AA44="Catastrófico"),AND(Y44="Media",AA44="Catastrófico"),AND(Y44="Alta",AA44="Catastrófico"),AND(Y44="Muy Alta",AA44="Catastrófico")),"Extremo","")))),"")</f>
        <v>Moderado</v>
      </c>
      <c r="AD44" s="144" t="s">
        <v>179</v>
      </c>
      <c r="AE44" s="152" t="s">
        <v>388</v>
      </c>
      <c r="AF44" s="151" t="s">
        <v>456</v>
      </c>
      <c r="AG44" s="164">
        <v>46055</v>
      </c>
      <c r="AH44" s="164">
        <v>46374</v>
      </c>
      <c r="AI44" s="164"/>
      <c r="AJ44" s="164"/>
      <c r="AK44" s="164"/>
      <c r="AL44" s="164"/>
      <c r="AM44" s="164"/>
      <c r="AN44" s="164"/>
      <c r="AO44" s="164"/>
      <c r="AP44" s="164"/>
      <c r="AQ44" s="151"/>
      <c r="AR44" s="151"/>
    </row>
    <row r="45" spans="1:44" s="89" customFormat="1" ht="123.75" customHeight="1" x14ac:dyDescent="0.25">
      <c r="A45" s="241">
        <v>21</v>
      </c>
      <c r="B45" s="242" t="s">
        <v>264</v>
      </c>
      <c r="C45" s="243" t="s">
        <v>182</v>
      </c>
      <c r="D45" s="243" t="s">
        <v>266</v>
      </c>
      <c r="E45" s="244" t="s">
        <v>265</v>
      </c>
      <c r="F45" s="243" t="s">
        <v>370</v>
      </c>
      <c r="G45" s="245">
        <v>501</v>
      </c>
      <c r="H45" s="233" t="str">
        <f>IF(G45&lt;=0,"",IF(G45&lt;=2,"Muy Baja",IF(G45&lt;=24,"Baja",IF(G45&lt;=500,"Media",IF(G45&lt;=5000,"Alta","Muy Alta")))))</f>
        <v>Alta</v>
      </c>
      <c r="I45" s="234">
        <f>IF(H45="","",IF(H45="Muy Baja",0.2,IF(H45="Baja",0.4,IF(H45="Media",0.6,IF(H45="Alta",0.8,IF(H45="Muy Alta",1,))))))</f>
        <v>0.8</v>
      </c>
      <c r="J45" s="236" t="s">
        <v>137</v>
      </c>
      <c r="K45" s="234" t="str">
        <f ca="1">IF(NOT(ISERROR(MATCH(J45,'Tabla Impacto'!$B$221:$B$223,0))),'Tabla Impacto'!$F$223&amp;"Por favor no seleccionar los criterios de impacto(Afectación Económica o presupuestal y Pérdida Reputacional)",J45)</f>
        <v xml:space="preserve">     Entre 100 y 500 SMLMV </v>
      </c>
      <c r="L45" s="233" t="str">
        <f ca="1">IF(OR(K45='Tabla Impacto'!$C$11,K45='Tabla Impacto'!$D$11),"Leve",IF(OR(K45='Tabla Impacto'!$C$12,K45='Tabla Impacto'!$D$12),"Menor",IF(OR(K45='Tabla Impacto'!$C$13,K45='Tabla Impacto'!$D$13),"Moderado",IF(OR(K45='Tabla Impacto'!$C$14,K45='Tabla Impacto'!$D$14),"Mayor",IF(OR(K45='Tabla Impacto'!$C$15,K45='Tabla Impacto'!$D$15),"Catastrófico","")))))</f>
        <v>Mayor</v>
      </c>
      <c r="M45" s="234">
        <f t="shared" ref="M45" ca="1" si="54">IF(L45="","",IF(L45="Leve",0.2,IF(L45="Menor",0.4,IF(L45="Moderado",0.6,IF(L45="Mayor",0.8,IF(L45="Catastrófico",1,))))))</f>
        <v>0.8</v>
      </c>
      <c r="N45" s="235" t="str">
        <f t="shared" ca="1" si="44"/>
        <v>Alto</v>
      </c>
      <c r="O45" s="136">
        <v>1</v>
      </c>
      <c r="P45" s="97" t="s">
        <v>267</v>
      </c>
      <c r="Q45" s="148" t="str">
        <f>IF(OR(R45="Preventivo",R45="Detectivo"),"Probabilidad",IF(R45="Correctivo","Impacto",""))</f>
        <v>Probabilidad</v>
      </c>
      <c r="R45" s="144" t="s">
        <v>152</v>
      </c>
      <c r="S45" s="144" t="s">
        <v>160</v>
      </c>
      <c r="T45" s="145" t="str">
        <f>IF(AND(R45="Preventivo",S45="Automático"),"50%",IF(AND(R45="Preventivo",S45="Manual"),"40%",IF(AND(R45="Detectivo",S45="Automático"),"40%",IF(AND(R45="Detectivo",S45="Manual"),"30%",IF(AND(R45="Correctivo",S45="Automático"),"35%",IF(AND(R45="Correctivo",S45="Manual"),"25%",""))))))</f>
        <v>40%</v>
      </c>
      <c r="U45" s="144" t="s">
        <v>163</v>
      </c>
      <c r="V45" s="144" t="s">
        <v>168</v>
      </c>
      <c r="W45" s="144" t="s">
        <v>172</v>
      </c>
      <c r="X45" s="146">
        <f>IFERROR(IF(Q45="Probabilidad",(I45-(+I45*T45)),IF(Q45="Impacto",I45,"")),"")</f>
        <v>0.48</v>
      </c>
      <c r="Y45" s="142" t="str">
        <f>IFERROR(IF(X45="","",IF(X45&lt;=0.2,"Muy Baja",IF(X45&lt;=0.4,"Baja",IF(X45&lt;=0.6,"Media",IF(X45&lt;=0.8,"Alta","Muy Alta"))))),"")</f>
        <v>Media</v>
      </c>
      <c r="Z45" s="145">
        <f>+X45</f>
        <v>0.48</v>
      </c>
      <c r="AA45" s="142" t="str">
        <f ca="1">IFERROR(IF(AB45="","",IF(AB45&lt;=0.2,"Leve",IF(AB45&lt;=0.4,"Menor",IF(AB45&lt;=0.6,"Moderado",IF(AB45&lt;=0.8,"Mayor","Catastrófico"))))),"")</f>
        <v>Mayor</v>
      </c>
      <c r="AB45" s="145">
        <f ca="1">IFERROR(IF(Q45="Impacto",(M45-(+M45*T45)),IF(Q45="Probabilidad",M45,"")),"")</f>
        <v>0.8</v>
      </c>
      <c r="AC45" s="147" t="str">
        <f ca="1">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Alto</v>
      </c>
      <c r="AD45" s="144" t="s">
        <v>179</v>
      </c>
      <c r="AE45" s="152" t="s">
        <v>353</v>
      </c>
      <c r="AF45" s="151" t="s">
        <v>458</v>
      </c>
      <c r="AG45" s="164">
        <v>46055</v>
      </c>
      <c r="AH45" s="164">
        <v>46374</v>
      </c>
      <c r="AI45" s="164"/>
      <c r="AJ45" s="164"/>
      <c r="AK45" s="164"/>
      <c r="AL45" s="164"/>
      <c r="AM45" s="164"/>
      <c r="AN45" s="164"/>
      <c r="AO45" s="164"/>
      <c r="AP45" s="164"/>
      <c r="AQ45" s="151"/>
      <c r="AR45" s="151"/>
    </row>
    <row r="46" spans="1:44" s="89" customFormat="1" ht="171.75" customHeight="1" x14ac:dyDescent="0.25">
      <c r="A46" s="241"/>
      <c r="B46" s="242"/>
      <c r="C46" s="243"/>
      <c r="D46" s="243"/>
      <c r="E46" s="244"/>
      <c r="F46" s="243"/>
      <c r="G46" s="245"/>
      <c r="H46" s="233"/>
      <c r="I46" s="234"/>
      <c r="J46" s="236"/>
      <c r="K46" s="234">
        <f ca="1">IF(NOT(ISERROR(MATCH(J46,_xlfn.ANCHORARRAY(E48),0))),I50&amp;"Por favor no seleccionar los criterios de impacto",J46)</f>
        <v>0</v>
      </c>
      <c r="L46" s="233"/>
      <c r="M46" s="234"/>
      <c r="N46" s="235"/>
      <c r="O46" s="136">
        <v>2</v>
      </c>
      <c r="P46" s="97" t="s">
        <v>352</v>
      </c>
      <c r="Q46" s="148" t="str">
        <f>IF(OR(R46="Preventivo",R46="Detectivo"),"Probabilidad",IF(R46="Correctivo","Impacto",""))</f>
        <v>Probabilidad</v>
      </c>
      <c r="R46" s="144" t="s">
        <v>152</v>
      </c>
      <c r="S46" s="144" t="s">
        <v>160</v>
      </c>
      <c r="T46" s="145" t="str">
        <f>IF(AND(R46="Preventivo",S46="Automático"),"50%",IF(AND(R46="Preventivo",S46="Manual"),"40%",IF(AND(R46="Detectivo",S46="Automático"),"40%",IF(AND(R46="Detectivo",S46="Manual"),"30%",IF(AND(R46="Correctivo",S46="Automático"),"35%",IF(AND(R46="Correctivo",S46="Manual"),"25%",""))))))</f>
        <v>40%</v>
      </c>
      <c r="U46" s="144" t="s">
        <v>163</v>
      </c>
      <c r="V46" s="144" t="s">
        <v>168</v>
      </c>
      <c r="W46" s="144" t="s">
        <v>172</v>
      </c>
      <c r="X46" s="146">
        <f>IFERROR(IF(Q46="Probabilidad",(I46-(+I46*T46)),IF(Q46="Impacto",I46,"")),"")</f>
        <v>0</v>
      </c>
      <c r="Y46" s="142" t="str">
        <f>IFERROR(IF(X46="","",IF(X46&lt;=0.2,"Muy Baja",IF(X46&lt;=0.4,"Baja",IF(X46&lt;=0.6,"Media",IF(X46&lt;=0.8,"Alta","Muy Alta"))))),"")</f>
        <v>Muy Baja</v>
      </c>
      <c r="Z46" s="145">
        <f>+X46</f>
        <v>0</v>
      </c>
      <c r="AA46" s="142" t="str">
        <f>IFERROR(IF(AB46="","",IF(AB46&lt;=0.2,"Leve",IF(AB46&lt;=0.4,"Menor",IF(AB46&lt;=0.6,"Moderado",IF(AB46&lt;=0.8,"Mayor","Catastrófico"))))),"")</f>
        <v>Leve</v>
      </c>
      <c r="AB46" s="145">
        <f>IFERROR(IF(Q46="Impacto",(M46-(+M46*T46)),IF(Q46="Probabilidad",M46,"")),"")</f>
        <v>0</v>
      </c>
      <c r="AC46" s="147" t="str">
        <f>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Bajo</v>
      </c>
      <c r="AD46" s="144" t="s">
        <v>179</v>
      </c>
      <c r="AE46" s="152" t="s">
        <v>268</v>
      </c>
      <c r="AF46" s="151" t="s">
        <v>458</v>
      </c>
      <c r="AG46" s="164">
        <v>46055</v>
      </c>
      <c r="AH46" s="164">
        <v>46374</v>
      </c>
      <c r="AI46" s="164"/>
      <c r="AJ46" s="164"/>
      <c r="AK46" s="164"/>
      <c r="AL46" s="164"/>
      <c r="AM46" s="164"/>
      <c r="AN46" s="164"/>
      <c r="AO46" s="164"/>
      <c r="AP46" s="164"/>
      <c r="AQ46" s="151"/>
      <c r="AR46" s="151"/>
    </row>
    <row r="47" spans="1:44" s="89" customFormat="1" ht="186.75" customHeight="1" x14ac:dyDescent="0.25">
      <c r="A47" s="157">
        <v>22</v>
      </c>
      <c r="B47" s="136" t="s">
        <v>269</v>
      </c>
      <c r="C47" s="158" t="s">
        <v>180</v>
      </c>
      <c r="D47" s="158" t="s">
        <v>273</v>
      </c>
      <c r="E47" s="160" t="s">
        <v>270</v>
      </c>
      <c r="F47" s="158" t="s">
        <v>370</v>
      </c>
      <c r="G47" s="159">
        <v>360</v>
      </c>
      <c r="H47" s="155" t="str">
        <f>IF(G47&lt;=0,"",IF(G47&lt;=2,"Muy Baja",IF(G47&lt;=24,"Baja",IF(G47&lt;=500,"Media",IF(G47&lt;=5000,"Alta","Muy Alta")))))</f>
        <v>Media</v>
      </c>
      <c r="I47" s="137">
        <f>IF(H47="","",IF(H47="Muy Baja",0.2,IF(H47="Baja",0.4,IF(H47="Media",0.6,IF(H47="Alta",0.8,IF(H47="Muy Alta",1,))))))</f>
        <v>0.6</v>
      </c>
      <c r="J47" s="156" t="s">
        <v>136</v>
      </c>
      <c r="K47" s="137" t="str">
        <f ca="1">IF(NOT(ISERROR(MATCH(J47,'Tabla Impacto'!$B$221:$B$223,0))),'Tabla Impacto'!$F$223&amp;"Por favor no seleccionar los criterios de impacto(Afectación Económica o presupuestal y Pérdida Reputacional)",J47)</f>
        <v xml:space="preserve">     El riesgo afecta la imagen de la entidad con algunos usuarios de relevancia frente al logro de los objetivos</v>
      </c>
      <c r="L47" s="155" t="str">
        <f ca="1">IF(OR(K47='Tabla Impacto'!$C$11,K47='Tabla Impacto'!$D$11),"Leve",IF(OR(K47='Tabla Impacto'!$C$12,K47='Tabla Impacto'!$D$12),"Menor",IF(OR(K47='Tabla Impacto'!$C$13,K47='Tabla Impacto'!$D$13),"Moderado",IF(OR(K47='Tabla Impacto'!$C$14,K47='Tabla Impacto'!$D$14),"Mayor",IF(OR(K47='Tabla Impacto'!$C$15,K47='Tabla Impacto'!$D$15),"Catastrófico","")))))</f>
        <v>Moderado</v>
      </c>
      <c r="M47" s="137">
        <f t="shared" ref="M47" ca="1" si="55">IF(L47="","",IF(L47="Leve",0.2,IF(L47="Menor",0.4,IF(L47="Moderado",0.6,IF(L47="Mayor",0.8,IF(L47="Catastrófico",1,))))))</f>
        <v>0.6</v>
      </c>
      <c r="N47" s="154" t="str">
        <f t="shared" ca="1" si="44"/>
        <v>Moderado</v>
      </c>
      <c r="O47" s="136">
        <v>1</v>
      </c>
      <c r="P47" s="97" t="s">
        <v>277</v>
      </c>
      <c r="Q47" s="148" t="str">
        <f>IF(OR(R47="Preventivo",R47="Detectivo"),"Probabilidad",IF(R47="Correctivo","Impacto",""))</f>
        <v>Probabilidad</v>
      </c>
      <c r="R47" s="144" t="s">
        <v>152</v>
      </c>
      <c r="S47" s="144" t="s">
        <v>160</v>
      </c>
      <c r="T47" s="145" t="str">
        <f>IF(AND(R47="Preventivo",S47="Automático"),"50%",IF(AND(R47="Preventivo",S47="Manual"),"40%",IF(AND(R47="Detectivo",S47="Automático"),"40%",IF(AND(R47="Detectivo",S47="Manual"),"30%",IF(AND(R47="Correctivo",S47="Automático"),"35%",IF(AND(R47="Correctivo",S47="Manual"),"25%",""))))))</f>
        <v>40%</v>
      </c>
      <c r="U47" s="144" t="s">
        <v>163</v>
      </c>
      <c r="V47" s="144" t="s">
        <v>168</v>
      </c>
      <c r="W47" s="144" t="s">
        <v>172</v>
      </c>
      <c r="X47" s="146">
        <f>IFERROR(IF(Q47="Probabilidad",(I47-(+I47*T47)),IF(Q47="Impacto",I47,"")),"")</f>
        <v>0.36</v>
      </c>
      <c r="Y47" s="142" t="str">
        <f>IFERROR(IF(X47="","",IF(X47&lt;=0.2,"Muy Baja",IF(X47&lt;=0.4,"Baja",IF(X47&lt;=0.6,"Media",IF(X47&lt;=0.8,"Alta","Muy Alta"))))),"")</f>
        <v>Baja</v>
      </c>
      <c r="Z47" s="145">
        <f>+X47</f>
        <v>0.36</v>
      </c>
      <c r="AA47" s="142" t="str">
        <f ca="1">IFERROR(IF(AB47="","",IF(AB47&lt;=0.2,"Leve",IF(AB47&lt;=0.4,"Menor",IF(AB47&lt;=0.6,"Moderado",IF(AB47&lt;=0.8,"Mayor","Catastrófico"))))),"")</f>
        <v>Moderado</v>
      </c>
      <c r="AB47" s="145">
        <f ca="1">IFERROR(IF(Q47="Impacto",(M47-(+M47*T47)),IF(Q47="Probabilidad",M47,"")),"")</f>
        <v>0.6</v>
      </c>
      <c r="AC47" s="147" t="str">
        <f ca="1">IFERROR(IF(OR(AND(Y47="Muy Baja",AA47="Leve"),AND(Y47="Muy Baja",AA47="Menor"),AND(Y47="Baja",AA47="Leve")),"Bajo",IF(OR(AND(Y47="Muy baja",AA47="Moderado"),AND(Y47="Baja",AA47="Menor"),AND(Y47="Baja",AA47="Moderado"),AND(Y47="Media",AA47="Leve"),AND(Y47="Media",AA47="Menor"),AND(Y47="Media",AA47="Moderado"),AND(Y47="Alta",AA47="Leve"),AND(Y47="Alta",AA47="Menor")),"Moderado",IF(OR(AND(Y47="Muy Baja",AA47="Mayor"),AND(Y47="Baja",AA47="Mayor"),AND(Y47="Media",AA47="Mayor"),AND(Y47="Alta",AA47="Moderado"),AND(Y47="Alta",AA47="Mayor"),AND(Y47="Muy Alta",AA47="Leve"),AND(Y47="Muy Alta",AA47="Menor"),AND(Y47="Muy Alta",AA47="Moderado"),AND(Y47="Muy Alta",AA47="Mayor")),"Alto",IF(OR(AND(Y47="Muy Baja",AA47="Catastrófico"),AND(Y47="Baja",AA47="Catastrófico"),AND(Y47="Media",AA47="Catastrófico"),AND(Y47="Alta",AA47="Catastrófico"),AND(Y47="Muy Alta",AA47="Catastrófico")),"Extremo","")))),"")</f>
        <v>Moderado</v>
      </c>
      <c r="AD47" s="144" t="s">
        <v>179</v>
      </c>
      <c r="AE47" s="152" t="s">
        <v>280</v>
      </c>
      <c r="AF47" s="151" t="s">
        <v>458</v>
      </c>
      <c r="AG47" s="164">
        <v>46055</v>
      </c>
      <c r="AH47" s="164">
        <v>46374</v>
      </c>
      <c r="AI47" s="164"/>
      <c r="AJ47" s="164"/>
      <c r="AK47" s="164"/>
      <c r="AL47" s="164"/>
      <c r="AM47" s="164"/>
      <c r="AN47" s="164"/>
      <c r="AO47" s="164"/>
      <c r="AP47" s="164"/>
      <c r="AQ47" s="151"/>
      <c r="AR47" s="151"/>
    </row>
    <row r="48" spans="1:44" s="89" customFormat="1" ht="111.75" customHeight="1" x14ac:dyDescent="0.25">
      <c r="A48" s="241">
        <v>23</v>
      </c>
      <c r="B48" s="242" t="s">
        <v>269</v>
      </c>
      <c r="C48" s="243" t="s">
        <v>180</v>
      </c>
      <c r="D48" s="243" t="s">
        <v>274</v>
      </c>
      <c r="E48" s="244" t="s">
        <v>271</v>
      </c>
      <c r="F48" s="243" t="s">
        <v>370</v>
      </c>
      <c r="G48" s="245">
        <v>360</v>
      </c>
      <c r="H48" s="233" t="str">
        <f>IF(G48&lt;=0,"",IF(G48&lt;=2,"Muy Baja",IF(G48&lt;=24,"Baja",IF(G48&lt;=500,"Media",IF(G48&lt;=5000,"Alta","Muy Alta")))))</f>
        <v>Media</v>
      </c>
      <c r="I48" s="234">
        <f>IF(H48="","",IF(H48="Muy Baja",0.2,IF(H48="Baja",0.4,IF(H48="Media",0.6,IF(H48="Alta",0.8,IF(H48="Muy Alta",1,))))))</f>
        <v>0.6</v>
      </c>
      <c r="J48" s="236" t="s">
        <v>134</v>
      </c>
      <c r="K48" s="234" t="str">
        <f ca="1">IF(NOT(ISERROR(MATCH(J48,'Tabla Impacto'!$B$221:$B$223,0))),'Tabla Impacto'!$F$223&amp;"Por favor no seleccionar los criterios de impacto(Afectación Económica o presupuestal y Pérdida Reputacional)",J48)</f>
        <v xml:space="preserve">     El riesgo afecta la imagen de la entidad internamente, de conocimiento general, nivel interno, de junta dircetiva y accionistas y/o de provedores</v>
      </c>
      <c r="L48" s="233" t="str">
        <f ca="1">IF(OR(K48='Tabla Impacto'!$C$11,K48='Tabla Impacto'!$D$11),"Leve",IF(OR(K48='Tabla Impacto'!$C$12,K48='Tabla Impacto'!$D$12),"Menor",IF(OR(K48='Tabla Impacto'!$C$13,K48='Tabla Impacto'!$D$13),"Moderado",IF(OR(K48='Tabla Impacto'!$C$14,K48='Tabla Impacto'!$D$14),"Mayor",IF(OR(K48='Tabla Impacto'!$C$15,K48='Tabla Impacto'!$D$15),"Catastrófico","")))))</f>
        <v>Menor</v>
      </c>
      <c r="M48" s="234">
        <f t="shared" ref="M48" ca="1" si="56">IF(L48="","",IF(L48="Leve",0.2,IF(L48="Menor",0.4,IF(L48="Moderado",0.6,IF(L48="Mayor",0.8,IF(L48="Catastrófico",1,))))))</f>
        <v>0.4</v>
      </c>
      <c r="N48" s="235" t="str">
        <f t="shared" ca="1" si="44"/>
        <v>Moderado</v>
      </c>
      <c r="O48" s="136">
        <v>1</v>
      </c>
      <c r="P48" s="97" t="s">
        <v>278</v>
      </c>
      <c r="Q48" s="148" t="str">
        <f>IF(OR(R48="Preventivo",R48="Detectivo"),"Probabilidad",IF(R48="Correctivo","Impacto",""))</f>
        <v>Probabilidad</v>
      </c>
      <c r="R48" s="144" t="s">
        <v>152</v>
      </c>
      <c r="S48" s="144" t="s">
        <v>160</v>
      </c>
      <c r="T48" s="145" t="str">
        <f>IF(AND(R48="Preventivo",S48="Automático"),"50%",IF(AND(R48="Preventivo",S48="Manual"),"40%",IF(AND(R48="Detectivo",S48="Automático"),"40%",IF(AND(R48="Detectivo",S48="Manual"),"30%",IF(AND(R48="Correctivo",S48="Automático"),"35%",IF(AND(R48="Correctivo",S48="Manual"),"25%",""))))))</f>
        <v>40%</v>
      </c>
      <c r="U48" s="144" t="s">
        <v>163</v>
      </c>
      <c r="V48" s="144" t="s">
        <v>168</v>
      </c>
      <c r="W48" s="144" t="s">
        <v>172</v>
      </c>
      <c r="X48" s="146">
        <f>IFERROR(IF(Q48="Probabilidad",(I48-(+I48*T48)),IF(Q48="Impacto",I48,"")),"")</f>
        <v>0.36</v>
      </c>
      <c r="Y48" s="142" t="str">
        <f>IFERROR(IF(X48="","",IF(X48&lt;=0.2,"Muy Baja",IF(X48&lt;=0.4,"Baja",IF(X48&lt;=0.6,"Media",IF(X48&lt;=0.8,"Alta","Muy Alta"))))),"")</f>
        <v>Baja</v>
      </c>
      <c r="Z48" s="145">
        <f>+X48</f>
        <v>0.36</v>
      </c>
      <c r="AA48" s="142" t="str">
        <f ca="1">IFERROR(IF(AB48="","",IF(AB48&lt;=0.2,"Leve",IF(AB48&lt;=0.4,"Menor",IF(AB48&lt;=0.6,"Moderado",IF(AB48&lt;=0.8,"Mayor","Catastrófico"))))),"")</f>
        <v>Menor</v>
      </c>
      <c r="AB48" s="145">
        <f ca="1">IFERROR(IF(Q48="Impacto",(M48-(+M48*T48)),IF(Q48="Probabilidad",M48,"")),"")</f>
        <v>0.4</v>
      </c>
      <c r="AC48" s="147" t="str">
        <f ca="1">IFERROR(IF(OR(AND(Y48="Muy Baja",AA48="Leve"),AND(Y48="Muy Baja",AA48="Menor"),AND(Y48="Baja",AA48="Leve")),"Bajo",IF(OR(AND(Y48="Muy baja",AA48="Moderado"),AND(Y48="Baja",AA48="Menor"),AND(Y48="Baja",AA48="Moderado"),AND(Y48="Media",AA48="Leve"),AND(Y48="Media",AA48="Menor"),AND(Y48="Media",AA48="Moderado"),AND(Y48="Alta",AA48="Leve"),AND(Y48="Alta",AA48="Menor")),"Moderado",IF(OR(AND(Y48="Muy Baja",AA48="Mayor"),AND(Y48="Baja",AA48="Mayor"),AND(Y48="Media",AA48="Mayor"),AND(Y48="Alta",AA48="Moderado"),AND(Y48="Alta",AA48="Mayor"),AND(Y48="Muy Alta",AA48="Leve"),AND(Y48="Muy Alta",AA48="Menor"),AND(Y48="Muy Alta",AA48="Moderado"),AND(Y48="Muy Alta",AA48="Mayor")),"Alto",IF(OR(AND(Y48="Muy Baja",AA48="Catastrófico"),AND(Y48="Baja",AA48="Catastrófico"),AND(Y48="Media",AA48="Catastrófico"),AND(Y48="Alta",AA48="Catastrófico"),AND(Y48="Muy Alta",AA48="Catastrófico")),"Extremo","")))),"")</f>
        <v>Moderado</v>
      </c>
      <c r="AD48" s="144" t="s">
        <v>179</v>
      </c>
      <c r="AE48" s="152" t="s">
        <v>414</v>
      </c>
      <c r="AF48" s="151" t="s">
        <v>459</v>
      </c>
      <c r="AG48" s="164">
        <v>46055</v>
      </c>
      <c r="AH48" s="164">
        <v>46374</v>
      </c>
      <c r="AI48" s="164"/>
      <c r="AJ48" s="164"/>
      <c r="AK48" s="164"/>
      <c r="AL48" s="164"/>
      <c r="AM48" s="164"/>
      <c r="AN48" s="164"/>
      <c r="AO48" s="164"/>
      <c r="AP48" s="164"/>
      <c r="AQ48" s="151"/>
      <c r="AR48" s="151"/>
    </row>
    <row r="49" spans="1:44" s="89" customFormat="1" ht="132" customHeight="1" x14ac:dyDescent="0.25">
      <c r="A49" s="241"/>
      <c r="B49" s="242"/>
      <c r="C49" s="243"/>
      <c r="D49" s="243"/>
      <c r="E49" s="244"/>
      <c r="F49" s="243"/>
      <c r="G49" s="245"/>
      <c r="H49" s="233"/>
      <c r="I49" s="234"/>
      <c r="J49" s="236"/>
      <c r="K49" s="234">
        <f ca="1">IF(NOT(ISERROR(MATCH(J49,_xlfn.ANCHORARRAY(E53),0))),I55&amp;"Por favor no seleccionar los criterios de impacto",J49)</f>
        <v>0</v>
      </c>
      <c r="L49" s="233"/>
      <c r="M49" s="234"/>
      <c r="N49" s="235"/>
      <c r="O49" s="136">
        <v>2</v>
      </c>
      <c r="P49" s="97"/>
      <c r="Q49" s="148"/>
      <c r="R49" s="144"/>
      <c r="S49" s="144"/>
      <c r="T49" s="145"/>
      <c r="U49" s="144"/>
      <c r="V49" s="144"/>
      <c r="W49" s="144"/>
      <c r="X49" s="146"/>
      <c r="Y49" s="142"/>
      <c r="Z49" s="145"/>
      <c r="AA49" s="142"/>
      <c r="AB49" s="145"/>
      <c r="AC49" s="147"/>
      <c r="AD49" s="144"/>
      <c r="AE49" s="152" t="s">
        <v>354</v>
      </c>
      <c r="AF49" s="151" t="s">
        <v>459</v>
      </c>
      <c r="AG49" s="164">
        <v>46055</v>
      </c>
      <c r="AH49" s="164">
        <v>46374</v>
      </c>
      <c r="AI49" s="164"/>
      <c r="AJ49" s="164"/>
      <c r="AK49" s="164"/>
      <c r="AL49" s="164"/>
      <c r="AM49" s="164"/>
      <c r="AN49" s="164"/>
      <c r="AO49" s="164"/>
      <c r="AP49" s="164"/>
      <c r="AQ49" s="151"/>
      <c r="AR49" s="151"/>
    </row>
    <row r="50" spans="1:44" s="89" customFormat="1" ht="89.25" customHeight="1" x14ac:dyDescent="0.25">
      <c r="A50" s="241"/>
      <c r="B50" s="242"/>
      <c r="C50" s="243"/>
      <c r="D50" s="243"/>
      <c r="E50" s="244"/>
      <c r="F50" s="243"/>
      <c r="G50" s="245"/>
      <c r="H50" s="233"/>
      <c r="I50" s="234"/>
      <c r="J50" s="236"/>
      <c r="K50" s="234">
        <f ca="1">IF(NOT(ISERROR(MATCH(J50,_xlfn.ANCHORARRAY(E54),0))),#REF!&amp;"Por favor no seleccionar los criterios de impacto",J50)</f>
        <v>0</v>
      </c>
      <c r="L50" s="233"/>
      <c r="M50" s="234"/>
      <c r="N50" s="235"/>
      <c r="O50" s="136">
        <v>3</v>
      </c>
      <c r="P50" s="143"/>
      <c r="Q50" s="148"/>
      <c r="R50" s="144"/>
      <c r="S50" s="144"/>
      <c r="T50" s="145"/>
      <c r="U50" s="144"/>
      <c r="V50" s="144"/>
      <c r="W50" s="144"/>
      <c r="X50" s="146"/>
      <c r="Y50" s="142"/>
      <c r="Z50" s="145"/>
      <c r="AA50" s="142"/>
      <c r="AB50" s="145"/>
      <c r="AC50" s="147"/>
      <c r="AD50" s="144"/>
      <c r="AE50" s="152" t="s">
        <v>415</v>
      </c>
      <c r="AF50" s="151" t="s">
        <v>459</v>
      </c>
      <c r="AG50" s="164">
        <v>46055</v>
      </c>
      <c r="AH50" s="164">
        <v>46374</v>
      </c>
      <c r="AI50" s="164"/>
      <c r="AJ50" s="164"/>
      <c r="AK50" s="164"/>
      <c r="AL50" s="164"/>
      <c r="AM50" s="164"/>
      <c r="AN50" s="164"/>
      <c r="AO50" s="164"/>
      <c r="AP50" s="164"/>
      <c r="AQ50" s="151"/>
      <c r="AR50" s="151"/>
    </row>
    <row r="51" spans="1:44" s="89" customFormat="1" ht="111" customHeight="1" x14ac:dyDescent="0.25">
      <c r="A51" s="241">
        <v>24</v>
      </c>
      <c r="B51" s="242" t="s">
        <v>269</v>
      </c>
      <c r="C51" s="243" t="s">
        <v>180</v>
      </c>
      <c r="D51" s="243" t="s">
        <v>275</v>
      </c>
      <c r="E51" s="244" t="s">
        <v>389</v>
      </c>
      <c r="F51" s="243" t="s">
        <v>370</v>
      </c>
      <c r="G51" s="245">
        <v>24</v>
      </c>
      <c r="H51" s="233" t="str">
        <f>IF(G51&lt;=0,"",IF(G51&lt;=2,"Muy Baja",IF(G51&lt;=24,"Baja",IF(G51&lt;=500,"Media",IF(G51&lt;=5000,"Alta","Muy Alta")))))</f>
        <v>Baja</v>
      </c>
      <c r="I51" s="234">
        <f>IF(H51="","",IF(H51="Muy Baja",0.2,IF(H51="Baja",0.4,IF(H51="Media",0.6,IF(H51="Alta",0.8,IF(H51="Muy Alta",1,))))))</f>
        <v>0.4</v>
      </c>
      <c r="J51" s="236" t="s">
        <v>135</v>
      </c>
      <c r="K51" s="234" t="str">
        <f ca="1">IF(NOT(ISERROR(MATCH(J51,'Tabla Impacto'!$B$221:$B$223,0))),'Tabla Impacto'!$F$223&amp;"Por favor no seleccionar los criterios de impacto(Afectación Económica o presupuestal y Pérdida Reputacional)",J51)</f>
        <v xml:space="preserve">     Entre 50 y 100 SMLMV </v>
      </c>
      <c r="L51" s="233" t="str">
        <f ca="1">IF(OR(K51='Tabla Impacto'!$C$11,K51='Tabla Impacto'!$D$11),"Leve",IF(OR(K51='Tabla Impacto'!$C$12,K51='Tabla Impacto'!$D$12),"Menor",IF(OR(K51='Tabla Impacto'!$C$13,K51='Tabla Impacto'!$D$13),"Moderado",IF(OR(K51='Tabla Impacto'!$C$14,K51='Tabla Impacto'!$D$14),"Mayor",IF(OR(K51='Tabla Impacto'!$C$15,K51='Tabla Impacto'!$D$15),"Catastrófico","")))))</f>
        <v>Moderado</v>
      </c>
      <c r="M51" s="234">
        <f t="shared" ref="M51" ca="1" si="57">IF(L51="","",IF(L51="Leve",0.2,IF(L51="Menor",0.4,IF(L51="Moderado",0.6,IF(L51="Mayor",0.8,IF(L51="Catastrófico",1,))))))</f>
        <v>0.6</v>
      </c>
      <c r="N51" s="235" t="str">
        <f t="shared" ca="1" si="44"/>
        <v>Moderado</v>
      </c>
      <c r="O51" s="136">
        <v>1</v>
      </c>
      <c r="P51" s="97" t="s">
        <v>390</v>
      </c>
      <c r="Q51" s="148" t="str">
        <f>IF(OR(R51="Preventivo",R51="Detectivo"),"Probabilidad",IF(R51="Correctivo","Impacto",""))</f>
        <v>Probabilidad</v>
      </c>
      <c r="R51" s="144" t="s">
        <v>152</v>
      </c>
      <c r="S51" s="144" t="s">
        <v>160</v>
      </c>
      <c r="T51" s="145" t="str">
        <f>IF(AND(R51="Preventivo",S51="Automático"),"50%",IF(AND(R51="Preventivo",S51="Manual"),"40%",IF(AND(R51="Detectivo",S51="Automático"),"40%",IF(AND(R51="Detectivo",S51="Manual"),"30%",IF(AND(R51="Correctivo",S51="Automático"),"35%",IF(AND(R51="Correctivo",S51="Manual"),"25%",""))))))</f>
        <v>40%</v>
      </c>
      <c r="U51" s="144" t="s">
        <v>163</v>
      </c>
      <c r="V51" s="144" t="s">
        <v>168</v>
      </c>
      <c r="W51" s="144" t="s">
        <v>172</v>
      </c>
      <c r="X51" s="146">
        <f>IFERROR(IF(Q51="Probabilidad",(I51-(+I51*T51)),IF(Q51="Impacto",I51,"")),"")</f>
        <v>0.24</v>
      </c>
      <c r="Y51" s="142" t="str">
        <f>IFERROR(IF(X51="","",IF(X51&lt;=0.2,"Muy Baja",IF(X51&lt;=0.4,"Baja",IF(X51&lt;=0.6,"Media",IF(X51&lt;=0.8,"Alta","Muy Alta"))))),"")</f>
        <v>Baja</v>
      </c>
      <c r="Z51" s="145">
        <f>+X51</f>
        <v>0.24</v>
      </c>
      <c r="AA51" s="142" t="str">
        <f ca="1">IFERROR(IF(AB51="","",IF(AB51&lt;=0.2,"Leve",IF(AB51&lt;=0.4,"Menor",IF(AB51&lt;=0.6,"Moderado",IF(AB51&lt;=0.8,"Mayor","Catastrófico"))))),"")</f>
        <v>Moderado</v>
      </c>
      <c r="AB51" s="145">
        <f ca="1">IFERROR(IF(Q51="Impacto",(M51-(+M51*T51)),IF(Q51="Probabilidad",M51,"")),"")</f>
        <v>0.6</v>
      </c>
      <c r="AC51" s="147" t="str">
        <f ca="1">IFERROR(IF(OR(AND(Y51="Muy Baja",AA51="Leve"),AND(Y51="Muy Baja",AA51="Menor"),AND(Y51="Baja",AA51="Leve")),"Bajo",IF(OR(AND(Y51="Muy baja",AA51="Moderado"),AND(Y51="Baja",AA51="Menor"),AND(Y51="Baja",AA51="Moderado"),AND(Y51="Media",AA51="Leve"),AND(Y51="Media",AA51="Menor"),AND(Y51="Media",AA51="Moderado"),AND(Y51="Alta",AA51="Leve"),AND(Y51="Alta",AA51="Menor")),"Moderado",IF(OR(AND(Y51="Muy Baja",AA51="Mayor"),AND(Y51="Baja",AA51="Mayor"),AND(Y51="Media",AA51="Mayor"),AND(Y51="Alta",AA51="Moderado"),AND(Y51="Alta",AA51="Mayor"),AND(Y51="Muy Alta",AA51="Leve"),AND(Y51="Muy Alta",AA51="Menor"),AND(Y51="Muy Alta",AA51="Moderado"),AND(Y51="Muy Alta",AA51="Mayor")),"Alto",IF(OR(AND(Y51="Muy Baja",AA51="Catastrófico"),AND(Y51="Baja",AA51="Catastrófico"),AND(Y51="Media",AA51="Catastrófico"),AND(Y51="Alta",AA51="Catastrófico"),AND(Y51="Muy Alta",AA51="Catastrófico")),"Extremo","")))),"")</f>
        <v>Moderado</v>
      </c>
      <c r="AD51" s="144" t="s">
        <v>179</v>
      </c>
      <c r="AE51" s="152" t="s">
        <v>391</v>
      </c>
      <c r="AF51" s="151" t="s">
        <v>459</v>
      </c>
      <c r="AG51" s="164">
        <v>46055</v>
      </c>
      <c r="AH51" s="164">
        <v>46374</v>
      </c>
      <c r="AI51" s="164"/>
      <c r="AJ51" s="164"/>
      <c r="AK51" s="164"/>
      <c r="AL51" s="164"/>
      <c r="AM51" s="164"/>
      <c r="AN51" s="164"/>
      <c r="AO51" s="164"/>
      <c r="AP51" s="164"/>
      <c r="AQ51" s="151"/>
      <c r="AR51" s="151"/>
    </row>
    <row r="52" spans="1:44" s="89" customFormat="1" ht="109.5" customHeight="1" x14ac:dyDescent="0.25">
      <c r="A52" s="241"/>
      <c r="B52" s="242"/>
      <c r="C52" s="243"/>
      <c r="D52" s="243"/>
      <c r="E52" s="244"/>
      <c r="F52" s="243"/>
      <c r="G52" s="245"/>
      <c r="H52" s="233"/>
      <c r="I52" s="234"/>
      <c r="J52" s="236"/>
      <c r="K52" s="234">
        <f ca="1">IF(NOT(ISERROR(MATCH(J52,_xlfn.ANCHORARRAY(E56),0))),#REF!&amp;"Por favor no seleccionar los criterios de impacto",J52)</f>
        <v>0</v>
      </c>
      <c r="L52" s="233"/>
      <c r="M52" s="234"/>
      <c r="N52" s="235"/>
      <c r="O52" s="136">
        <v>2</v>
      </c>
      <c r="P52" s="97"/>
      <c r="Q52" s="148"/>
      <c r="R52" s="144"/>
      <c r="S52" s="144"/>
      <c r="T52" s="145"/>
      <c r="U52" s="144"/>
      <c r="V52" s="144"/>
      <c r="W52" s="144"/>
      <c r="X52" s="146"/>
      <c r="Y52" s="142"/>
      <c r="Z52" s="145"/>
      <c r="AA52" s="142"/>
      <c r="AB52" s="145"/>
      <c r="AC52" s="147"/>
      <c r="AD52" s="144"/>
      <c r="AE52" s="152" t="s">
        <v>355</v>
      </c>
      <c r="AF52" s="151" t="s">
        <v>459</v>
      </c>
      <c r="AG52" s="164">
        <v>46055</v>
      </c>
      <c r="AH52" s="164">
        <v>46374</v>
      </c>
      <c r="AI52" s="164"/>
      <c r="AJ52" s="164"/>
      <c r="AK52" s="164"/>
      <c r="AL52" s="164"/>
      <c r="AM52" s="164"/>
      <c r="AN52" s="164"/>
      <c r="AO52" s="164"/>
      <c r="AP52" s="164"/>
      <c r="AQ52" s="151"/>
      <c r="AR52" s="151"/>
    </row>
    <row r="53" spans="1:44" s="89" customFormat="1" ht="144" customHeight="1" x14ac:dyDescent="0.25">
      <c r="A53" s="241">
        <v>25</v>
      </c>
      <c r="B53" s="242" t="s">
        <v>269</v>
      </c>
      <c r="C53" s="243" t="s">
        <v>180</v>
      </c>
      <c r="D53" s="243" t="s">
        <v>276</v>
      </c>
      <c r="E53" s="244" t="s">
        <v>272</v>
      </c>
      <c r="F53" s="243" t="s">
        <v>370</v>
      </c>
      <c r="G53" s="245">
        <v>2</v>
      </c>
      <c r="H53" s="233" t="str">
        <f>IF(G53&lt;=0,"",IF(G53&lt;=2,"Muy Baja",IF(G53&lt;=24,"Baja",IF(G53&lt;=500,"Media",IF(G53&lt;=5000,"Alta","Muy Alta")))))</f>
        <v>Muy Baja</v>
      </c>
      <c r="I53" s="234">
        <f>IF(H53="","",IF(H53="Muy Baja",0.2,IF(H53="Baja",0.4,IF(H53="Media",0.6,IF(H53="Alta",0.8,IF(H53="Muy Alta",1,))))))</f>
        <v>0.2</v>
      </c>
      <c r="J53" s="236" t="s">
        <v>131</v>
      </c>
      <c r="K53" s="234" t="str">
        <f ca="1">IF(NOT(ISERROR(MATCH(J53,'Tabla Impacto'!$B$221:$B$223,0))),'Tabla Impacto'!$F$223&amp;"Por favor no seleccionar los criterios de impacto(Afectación Económica o presupuestal y Pérdida Reputacional)",J53)</f>
        <v xml:space="preserve">     El riesgo afecta la imagen de alguna área de la organización</v>
      </c>
      <c r="L53" s="233" t="str">
        <f ca="1">IF(OR(K53='Tabla Impacto'!$C$11,K53='Tabla Impacto'!$D$11),"Leve",IF(OR(K53='Tabla Impacto'!$C$12,K53='Tabla Impacto'!$D$12),"Menor",IF(OR(K53='Tabla Impacto'!$C$13,K53='Tabla Impacto'!$D$13),"Moderado",IF(OR(K53='Tabla Impacto'!$C$14,K53='Tabla Impacto'!$D$14),"Mayor",IF(OR(K53='Tabla Impacto'!$C$15,K53='Tabla Impacto'!$D$15),"Catastrófico","")))))</f>
        <v>Leve</v>
      </c>
      <c r="M53" s="234">
        <f t="shared" ref="M53" ca="1" si="58">IF(L53="","",IF(L53="Leve",0.2,IF(L53="Menor",0.4,IF(L53="Moderado",0.6,IF(L53="Mayor",0.8,IF(L53="Catastrófico",1,))))))</f>
        <v>0.2</v>
      </c>
      <c r="N53" s="235" t="str">
        <f t="shared" ref="N53:N56" ca="1" si="59">IF(OR(AND(H53="Muy Baja",L53="Leve"),AND(H53="Muy Baja",L53="Menor"),AND(H53="Baja",L53="Leve")),"Bajo",IF(OR(AND(H53="Muy baja",L53="Moderado"),AND(H53="Baja",L53="Menor"),AND(H53="Baja",L53="Moderado"),AND(H53="Media",L53="Leve"),AND(H53="Media",L53="Menor"),AND(H53="Media",L53="Moderado"),AND(H53="Alta",L53="Leve"),AND(H53="Alta",L53="Menor")),"Moderado",IF(OR(AND(H53="Muy Baja",L53="Mayor"),AND(H53="Baja",L53="Mayor"),AND(H53="Media",L53="Mayor"),AND(H53="Alta",L53="Moderado"),AND(H53="Alta",L53="Mayor"),AND(H53="Muy Alta",L53="Leve"),AND(H53="Muy Alta",L53="Menor"),AND(H53="Muy Alta",L53="Moderado"),AND(H53="Muy Alta",L53="Mayor")),"Alto",IF(OR(AND(H53="Muy Baja",L53="Catastrófico"),AND(H53="Baja",L53="Catastrófico"),AND(H53="Media",L53="Catastrófico"),AND(H53="Alta",L53="Catastrófico"),AND(H53="Muy Alta",L53="Catastrófico")),"Extremo",""))))</f>
        <v>Bajo</v>
      </c>
      <c r="O53" s="136">
        <v>1</v>
      </c>
      <c r="P53" s="97" t="s">
        <v>279</v>
      </c>
      <c r="Q53" s="148" t="str">
        <f>IF(OR(R53="Preventivo",R53="Detectivo"),"Probabilidad",IF(R53="Correctivo","Impacto",""))</f>
        <v>Probabilidad</v>
      </c>
      <c r="R53" s="144" t="s">
        <v>152</v>
      </c>
      <c r="S53" s="144" t="s">
        <v>160</v>
      </c>
      <c r="T53" s="145" t="str">
        <f>IF(AND(R53="Preventivo",S53="Automático"),"50%",IF(AND(R53="Preventivo",S53="Manual"),"40%",IF(AND(R53="Detectivo",S53="Automático"),"40%",IF(AND(R53="Detectivo",S53="Manual"),"30%",IF(AND(R53="Correctivo",S53="Automático"),"35%",IF(AND(R53="Correctivo",S53="Manual"),"25%",""))))))</f>
        <v>40%</v>
      </c>
      <c r="U53" s="144" t="s">
        <v>163</v>
      </c>
      <c r="V53" s="144" t="s">
        <v>168</v>
      </c>
      <c r="W53" s="144" t="s">
        <v>172</v>
      </c>
      <c r="X53" s="146">
        <f>IFERROR(IF(Q53="Probabilidad",(I53-(+I53*T53)),IF(Q53="Impacto",I53,"")),"")</f>
        <v>0.12</v>
      </c>
      <c r="Y53" s="142" t="str">
        <f>IFERROR(IF(X53="","",IF(X53&lt;=0.2,"Muy Baja",IF(X53&lt;=0.4,"Baja",IF(X53&lt;=0.6,"Media",IF(X53&lt;=0.8,"Alta","Muy Alta"))))),"")</f>
        <v>Muy Baja</v>
      </c>
      <c r="Z53" s="145">
        <f>+X53</f>
        <v>0.12</v>
      </c>
      <c r="AA53" s="142" t="str">
        <f ca="1">IFERROR(IF(AB53="","",IF(AB53&lt;=0.2,"Leve",IF(AB53&lt;=0.4,"Menor",IF(AB53&lt;=0.6,"Moderado",IF(AB53&lt;=0.8,"Mayor","Catastrófico"))))),"")</f>
        <v>Leve</v>
      </c>
      <c r="AB53" s="145">
        <f ca="1">IFERROR(IF(Q53="Impacto",(M53-(+M53*T53)),IF(Q53="Probabilidad",M53,"")),"")</f>
        <v>0.2</v>
      </c>
      <c r="AC53" s="147" t="str">
        <f ca="1">IFERROR(IF(OR(AND(Y53="Muy Baja",AA53="Leve"),AND(Y53="Muy Baja",AA53="Menor"),AND(Y53="Baja",AA53="Leve")),"Bajo",IF(OR(AND(Y53="Muy baja",AA53="Moderado"),AND(Y53="Baja",AA53="Menor"),AND(Y53="Baja",AA53="Moderado"),AND(Y53="Media",AA53="Leve"),AND(Y53="Media",AA53="Menor"),AND(Y53="Media",AA53="Moderado"),AND(Y53="Alta",AA53="Leve"),AND(Y53="Alta",AA53="Menor")),"Moderado",IF(OR(AND(Y53="Muy Baja",AA53="Mayor"),AND(Y53="Baja",AA53="Mayor"),AND(Y53="Media",AA53="Mayor"),AND(Y53="Alta",AA53="Moderado"),AND(Y53="Alta",AA53="Mayor"),AND(Y53="Muy Alta",AA53="Leve"),AND(Y53="Muy Alta",AA53="Menor"),AND(Y53="Muy Alta",AA53="Moderado"),AND(Y53="Muy Alta",AA53="Mayor")),"Alto",IF(OR(AND(Y53="Muy Baja",AA53="Catastrófico"),AND(Y53="Baja",AA53="Catastrófico"),AND(Y53="Media",AA53="Catastrófico"),AND(Y53="Alta",AA53="Catastrófico"),AND(Y53="Muy Alta",AA53="Catastrófico")),"Extremo","")))),"")</f>
        <v>Bajo</v>
      </c>
      <c r="AD53" s="144" t="s">
        <v>179</v>
      </c>
      <c r="AE53" s="152" t="s">
        <v>392</v>
      </c>
      <c r="AF53" s="151" t="s">
        <v>459</v>
      </c>
      <c r="AG53" s="164">
        <v>46055</v>
      </c>
      <c r="AH53" s="164">
        <v>46374</v>
      </c>
      <c r="AI53" s="164"/>
      <c r="AJ53" s="164"/>
      <c r="AK53" s="164"/>
      <c r="AL53" s="164"/>
      <c r="AM53" s="164"/>
      <c r="AN53" s="164"/>
      <c r="AO53" s="164"/>
      <c r="AP53" s="164"/>
      <c r="AQ53" s="151"/>
      <c r="AR53" s="151"/>
    </row>
    <row r="54" spans="1:44" s="89" customFormat="1" ht="108.75" customHeight="1" x14ac:dyDescent="0.25">
      <c r="A54" s="241"/>
      <c r="B54" s="242"/>
      <c r="C54" s="243"/>
      <c r="D54" s="243"/>
      <c r="E54" s="244"/>
      <c r="F54" s="243"/>
      <c r="G54" s="245"/>
      <c r="H54" s="233"/>
      <c r="I54" s="234"/>
      <c r="J54" s="236"/>
      <c r="K54" s="234">
        <f ca="1">IF(NOT(ISERROR(MATCH(J54,_xlfn.ANCHORARRAY(E57),0))),#REF!&amp;"Por favor no seleccionar los criterios de impacto",J54)</f>
        <v>0</v>
      </c>
      <c r="L54" s="233"/>
      <c r="M54" s="234"/>
      <c r="N54" s="235"/>
      <c r="O54" s="136">
        <v>2</v>
      </c>
      <c r="P54" s="98"/>
      <c r="Q54" s="148"/>
      <c r="R54" s="144"/>
      <c r="S54" s="144"/>
      <c r="T54" s="145"/>
      <c r="U54" s="144"/>
      <c r="V54" s="144"/>
      <c r="W54" s="144"/>
      <c r="X54" s="146"/>
      <c r="Y54" s="142"/>
      <c r="Z54" s="145"/>
      <c r="AA54" s="142"/>
      <c r="AB54" s="145"/>
      <c r="AC54" s="147"/>
      <c r="AD54" s="144"/>
      <c r="AE54" s="152" t="s">
        <v>281</v>
      </c>
      <c r="AF54" s="151" t="s">
        <v>459</v>
      </c>
      <c r="AG54" s="164">
        <v>46055</v>
      </c>
      <c r="AH54" s="164">
        <v>46374</v>
      </c>
      <c r="AI54" s="164"/>
      <c r="AJ54" s="164"/>
      <c r="AK54" s="164"/>
      <c r="AL54" s="164"/>
      <c r="AM54" s="164"/>
      <c r="AN54" s="164"/>
      <c r="AO54" s="164"/>
      <c r="AP54" s="164"/>
      <c r="AQ54" s="151"/>
      <c r="AR54" s="151"/>
    </row>
    <row r="55" spans="1:44" s="89" customFormat="1" ht="81.75" customHeight="1" x14ac:dyDescent="0.25">
      <c r="A55" s="241"/>
      <c r="B55" s="242"/>
      <c r="C55" s="243"/>
      <c r="D55" s="243"/>
      <c r="E55" s="244"/>
      <c r="F55" s="243"/>
      <c r="G55" s="245"/>
      <c r="H55" s="233"/>
      <c r="I55" s="234"/>
      <c r="J55" s="236"/>
      <c r="K55" s="234">
        <f ca="1">IF(NOT(ISERROR(MATCH(J55,_xlfn.ANCHORARRAY(#REF!),0))),#REF!&amp;"Por favor no seleccionar los criterios de impacto",J55)</f>
        <v>0</v>
      </c>
      <c r="L55" s="233"/>
      <c r="M55" s="234"/>
      <c r="N55" s="235"/>
      <c r="O55" s="136">
        <v>3</v>
      </c>
      <c r="P55" s="150"/>
      <c r="Q55" s="148"/>
      <c r="R55" s="144"/>
      <c r="S55" s="144"/>
      <c r="T55" s="145"/>
      <c r="U55" s="144"/>
      <c r="V55" s="144"/>
      <c r="W55" s="144"/>
      <c r="X55" s="146"/>
      <c r="Y55" s="142"/>
      <c r="Z55" s="145"/>
      <c r="AA55" s="142"/>
      <c r="AB55" s="145"/>
      <c r="AC55" s="147"/>
      <c r="AD55" s="144"/>
      <c r="AE55" s="152" t="s">
        <v>356</v>
      </c>
      <c r="AF55" s="151" t="s">
        <v>437</v>
      </c>
      <c r="AG55" s="164">
        <v>46055</v>
      </c>
      <c r="AH55" s="164">
        <v>46374</v>
      </c>
      <c r="AI55" s="164"/>
      <c r="AJ55" s="164"/>
      <c r="AK55" s="164"/>
      <c r="AL55" s="164"/>
      <c r="AM55" s="164"/>
      <c r="AN55" s="164"/>
      <c r="AO55" s="164"/>
      <c r="AP55" s="164"/>
      <c r="AQ55" s="151"/>
      <c r="AR55" s="151"/>
    </row>
    <row r="56" spans="1:44" s="89" customFormat="1" ht="184.5" customHeight="1" x14ac:dyDescent="0.25">
      <c r="A56" s="157">
        <v>26</v>
      </c>
      <c r="B56" s="136" t="s">
        <v>282</v>
      </c>
      <c r="C56" s="158" t="s">
        <v>180</v>
      </c>
      <c r="D56" s="158" t="s">
        <v>287</v>
      </c>
      <c r="E56" s="160" t="s">
        <v>283</v>
      </c>
      <c r="F56" s="158" t="s">
        <v>370</v>
      </c>
      <c r="G56" s="159">
        <v>24</v>
      </c>
      <c r="H56" s="155" t="str">
        <f>IF(G56&lt;=0,"",IF(G56&lt;=2,"Muy Baja",IF(G56&lt;=24,"Baja",IF(G56&lt;=500,"Media",IF(G56&lt;=5000,"Alta","Muy Alta")))))</f>
        <v>Baja</v>
      </c>
      <c r="I56" s="137">
        <f>IF(H56="","",IF(H56="Muy Baja",0.2,IF(H56="Baja",0.4,IF(H56="Media",0.6,IF(H56="Alta",0.8,IF(H56="Muy Alta",1,))))))</f>
        <v>0.4</v>
      </c>
      <c r="J56" s="156" t="s">
        <v>130</v>
      </c>
      <c r="K56" s="137" t="str">
        <f ca="1">IF(NOT(ISERROR(MATCH(J56,'Tabla Impacto'!$B$221:$B$223,0))),'Tabla Impacto'!$F$223&amp;"Por favor no seleccionar los criterios de impacto(Afectación Económica o presupuestal y Pérdida Reputacional)",J56)</f>
        <v xml:space="preserve">     Afectación menor a 10 SMLMV .</v>
      </c>
      <c r="L56" s="155" t="str">
        <f ca="1">IF(OR(K56='Tabla Impacto'!$C$11,K56='Tabla Impacto'!$D$11),"Leve",IF(OR(K56='Tabla Impacto'!$C$12,K56='Tabla Impacto'!$D$12),"Menor",IF(OR(K56='Tabla Impacto'!$C$13,K56='Tabla Impacto'!$D$13),"Moderado",IF(OR(K56='Tabla Impacto'!$C$14,K56='Tabla Impacto'!$D$14),"Mayor",IF(OR(K56='Tabla Impacto'!$C$15,K56='Tabla Impacto'!$D$15),"Catastrófico","")))))</f>
        <v>Leve</v>
      </c>
      <c r="M56" s="137">
        <f t="shared" ref="M56" ca="1" si="60">IF(L56="","",IF(L56="Leve",0.2,IF(L56="Menor",0.4,IF(L56="Moderado",0.6,IF(L56="Mayor",0.8,IF(L56="Catastrófico",1,))))))</f>
        <v>0.2</v>
      </c>
      <c r="N56" s="154" t="str">
        <f t="shared" ca="1" si="59"/>
        <v>Bajo</v>
      </c>
      <c r="O56" s="136">
        <v>1</v>
      </c>
      <c r="P56" s="97" t="s">
        <v>291</v>
      </c>
      <c r="Q56" s="148" t="str">
        <f>IF(OR(R56="Preventivo",R56="Detectivo"),"Probabilidad",IF(R56="Correctivo","Impacto",""))</f>
        <v>Probabilidad</v>
      </c>
      <c r="R56" s="144" t="s">
        <v>152</v>
      </c>
      <c r="S56" s="144" t="s">
        <v>160</v>
      </c>
      <c r="T56" s="145" t="str">
        <f>IF(AND(R56="Preventivo",S56="Automático"),"50%",IF(AND(R56="Preventivo",S56="Manual"),"40%",IF(AND(R56="Detectivo",S56="Automático"),"40%",IF(AND(R56="Detectivo",S56="Manual"),"30%",IF(AND(R56="Correctivo",S56="Automático"),"35%",IF(AND(R56="Correctivo",S56="Manual"),"25%",""))))))</f>
        <v>40%</v>
      </c>
      <c r="U56" s="144" t="s">
        <v>163</v>
      </c>
      <c r="V56" s="144" t="s">
        <v>168</v>
      </c>
      <c r="W56" s="144" t="s">
        <v>172</v>
      </c>
      <c r="X56" s="146">
        <f>IFERROR(IF(Q56="Probabilidad",(I56-(+I56*T56)),IF(Q56="Impacto",I56,"")),"")</f>
        <v>0.24</v>
      </c>
      <c r="Y56" s="142" t="str">
        <f>IFERROR(IF(X56="","",IF(X56&lt;=0.2,"Muy Baja",IF(X56&lt;=0.4,"Baja",IF(X56&lt;=0.6,"Media",IF(X56&lt;=0.8,"Alta","Muy Alta"))))),"")</f>
        <v>Baja</v>
      </c>
      <c r="Z56" s="145">
        <f>+X56</f>
        <v>0.24</v>
      </c>
      <c r="AA56" s="142" t="str">
        <f ca="1">IFERROR(IF(AB56="","",IF(AB56&lt;=0.2,"Leve",IF(AB56&lt;=0.4,"Menor",IF(AB56&lt;=0.6,"Moderado",IF(AB56&lt;=0.8,"Mayor","Catastrófico"))))),"")</f>
        <v>Leve</v>
      </c>
      <c r="AB56" s="145">
        <f ca="1">IFERROR(IF(Q56="Impacto",(M56-(+M56*T56)),IF(Q56="Probabilidad",M56,"")),"")</f>
        <v>0.2</v>
      </c>
      <c r="AC56" s="147" t="str">
        <f ca="1">IFERROR(IF(OR(AND(Y56="Muy Baja",AA56="Leve"),AND(Y56="Muy Baja",AA56="Menor"),AND(Y56="Baja",AA56="Leve")),"Bajo",IF(OR(AND(Y56="Muy baja",AA56="Moderado"),AND(Y56="Baja",AA56="Menor"),AND(Y56="Baja",AA56="Moderado"),AND(Y56="Media",AA56="Leve"),AND(Y56="Media",AA56="Menor"),AND(Y56="Media",AA56="Moderado"),AND(Y56="Alta",AA56="Leve"),AND(Y56="Alta",AA56="Menor")),"Moderado",IF(OR(AND(Y56="Muy Baja",AA56="Mayor"),AND(Y56="Baja",AA56="Mayor"),AND(Y56="Media",AA56="Mayor"),AND(Y56="Alta",AA56="Moderado"),AND(Y56="Alta",AA56="Mayor"),AND(Y56="Muy Alta",AA56="Leve"),AND(Y56="Muy Alta",AA56="Menor"),AND(Y56="Muy Alta",AA56="Moderado"),AND(Y56="Muy Alta",AA56="Mayor")),"Alto",IF(OR(AND(Y56="Muy Baja",AA56="Catastrófico"),AND(Y56="Baja",AA56="Catastrófico"),AND(Y56="Media",AA56="Catastrófico"),AND(Y56="Alta",AA56="Catastrófico"),AND(Y56="Muy Alta",AA56="Catastrófico")),"Extremo","")))),"")</f>
        <v>Bajo</v>
      </c>
      <c r="AD56" s="144" t="s">
        <v>179</v>
      </c>
      <c r="AE56" s="152" t="s">
        <v>295</v>
      </c>
      <c r="AF56" s="151" t="s">
        <v>437</v>
      </c>
      <c r="AG56" s="164">
        <v>46055</v>
      </c>
      <c r="AH56" s="164">
        <v>46374</v>
      </c>
      <c r="AI56" s="164"/>
      <c r="AJ56" s="164"/>
      <c r="AK56" s="164"/>
      <c r="AL56" s="164"/>
      <c r="AM56" s="164"/>
      <c r="AN56" s="164"/>
      <c r="AO56" s="164"/>
      <c r="AP56" s="164"/>
      <c r="AQ56" s="151"/>
      <c r="AR56" s="151"/>
    </row>
    <row r="57" spans="1:44" s="89" customFormat="1" ht="151.5" customHeight="1" x14ac:dyDescent="0.25">
      <c r="A57" s="157">
        <v>27</v>
      </c>
      <c r="B57" s="136" t="s">
        <v>282</v>
      </c>
      <c r="C57" s="158" t="s">
        <v>180</v>
      </c>
      <c r="D57" s="158" t="s">
        <v>288</v>
      </c>
      <c r="E57" s="160" t="s">
        <v>284</v>
      </c>
      <c r="F57" s="158" t="s">
        <v>190</v>
      </c>
      <c r="G57" s="159">
        <v>500</v>
      </c>
      <c r="H57" s="155" t="str">
        <f t="shared" ref="H57" si="61">IF(G57&lt;=0,"",IF(G57&lt;=2,"Muy Baja",IF(G57&lt;=24,"Baja",IF(G57&lt;=500,"Media",IF(G57&lt;=5000,"Alta","Muy Alta")))))</f>
        <v>Media</v>
      </c>
      <c r="I57" s="137">
        <f t="shared" ref="I57" si="62">IF(H57="","",IF(H57="Muy Baja",0.2,IF(H57="Baja",0.4,IF(H57="Media",0.6,IF(H57="Alta",0.8,IF(H57="Muy Alta",1,))))))</f>
        <v>0.6</v>
      </c>
      <c r="J57" s="156" t="s">
        <v>130</v>
      </c>
      <c r="K57" s="137" t="str">
        <f ca="1">IF(NOT(ISERROR(MATCH(J57,'Tabla Impacto'!$B$221:$B$223,0))),'Tabla Impacto'!$F$223&amp;"Por favor no seleccionar los criterios de impacto(Afectación Económica o presupuestal y Pérdida Reputacional)",J57)</f>
        <v xml:space="preserve">     Afectación menor a 10 SMLMV .</v>
      </c>
      <c r="L57" s="155" t="str">
        <f ca="1">IF(OR(K57='Tabla Impacto'!$C$11,K57='Tabla Impacto'!$D$11),"Leve",IF(OR(K57='Tabla Impacto'!$C$12,K57='Tabla Impacto'!$D$12),"Menor",IF(OR(K57='Tabla Impacto'!$C$13,K57='Tabla Impacto'!$D$13),"Moderado",IF(OR(K57='Tabla Impacto'!$C$14,K57='Tabla Impacto'!$D$14),"Mayor",IF(OR(K57='Tabla Impacto'!$C$15,K57='Tabla Impacto'!$D$15),"Catastrófico","")))))</f>
        <v>Leve</v>
      </c>
      <c r="M57" s="137">
        <f t="shared" ref="M57" ca="1" si="63">IF(L57="","",IF(L57="Leve",0.2,IF(L57="Menor",0.4,IF(L57="Moderado",0.6,IF(L57="Mayor",0.8,IF(L57="Catastrófico",1,))))))</f>
        <v>0.2</v>
      </c>
      <c r="N57" s="154" t="str">
        <f t="shared" ref="N57" ca="1" si="64">IF(OR(AND(H57="Muy Baja",L57="Leve"),AND(H57="Muy Baja",L57="Menor"),AND(H57="Baja",L57="Leve")),"Bajo",IF(OR(AND(H57="Muy baja",L57="Moderado"),AND(H57="Baja",L57="Menor"),AND(H57="Baja",L57="Moderado"),AND(H57="Media",L57="Leve"),AND(H57="Media",L57="Menor"),AND(H57="Media",L57="Moderado"),AND(H57="Alta",L57="Leve"),AND(H57="Alta",L57="Menor")),"Moderado",IF(OR(AND(H57="Muy Baja",L57="Mayor"),AND(H57="Baja",L57="Mayor"),AND(H57="Media",L57="Mayor"),AND(H57="Alta",L57="Moderado"),AND(H57="Alta",L57="Mayor"),AND(H57="Muy Alta",L57="Leve"),AND(H57="Muy Alta",L57="Menor"),AND(H57="Muy Alta",L57="Moderado"),AND(H57="Muy Alta",L57="Mayor")),"Alto",IF(OR(AND(H57="Muy Baja",L57="Catastrófico"),AND(H57="Baja",L57="Catastrófico"),AND(H57="Media",L57="Catastrófico"),AND(H57="Alta",L57="Catastrófico"),AND(H57="Muy Alta",L57="Catastrófico")),"Extremo",""))))</f>
        <v>Moderado</v>
      </c>
      <c r="O57" s="136">
        <v>1</v>
      </c>
      <c r="P57" s="97" t="s">
        <v>292</v>
      </c>
      <c r="Q57" s="148" t="str">
        <f>IF(OR(R57="Preventivo",R57="Detectivo"),"Probabilidad",IF(R57="Correctivo","Impacto",""))</f>
        <v>Probabilidad</v>
      </c>
      <c r="R57" s="144" t="s">
        <v>152</v>
      </c>
      <c r="S57" s="144" t="s">
        <v>160</v>
      </c>
      <c r="T57" s="145" t="str">
        <f>IF(AND(R57="Preventivo",S57="Automático"),"50%",IF(AND(R57="Preventivo",S57="Manual"),"40%",IF(AND(R57="Detectivo",S57="Automático"),"40%",IF(AND(R57="Detectivo",S57="Manual"),"30%",IF(AND(R57="Correctivo",S57="Automático"),"35%",IF(AND(R57="Correctivo",S57="Manual"),"25%",""))))))</f>
        <v>40%</v>
      </c>
      <c r="U57" s="144" t="s">
        <v>163</v>
      </c>
      <c r="V57" s="144" t="s">
        <v>168</v>
      </c>
      <c r="W57" s="144" t="s">
        <v>172</v>
      </c>
      <c r="X57" s="146">
        <f>IFERROR(IF(Q57="Probabilidad",(I57-(+I57*T57)),IF(Q57="Impacto",I57,"")),"")</f>
        <v>0.36</v>
      </c>
      <c r="Y57" s="142" t="str">
        <f>IFERROR(IF(X57="","",IF(X57&lt;=0.2,"Muy Baja",IF(X57&lt;=0.4,"Baja",IF(X57&lt;=0.6,"Media",IF(X57&lt;=0.8,"Alta","Muy Alta"))))),"")</f>
        <v>Baja</v>
      </c>
      <c r="Z57" s="145">
        <f>+X57</f>
        <v>0.36</v>
      </c>
      <c r="AA57" s="142" t="str">
        <f ca="1">IFERROR(IF(AB57="","",IF(AB57&lt;=0.2,"Leve",IF(AB57&lt;=0.4,"Menor",IF(AB57&lt;=0.6,"Moderado",IF(AB57&lt;=0.8,"Mayor","Catastrófico"))))),"")</f>
        <v>Leve</v>
      </c>
      <c r="AB57" s="145">
        <f ca="1">IFERROR(IF(Q57="Impacto",(M57-(+M57*T57)),IF(Q57="Probabilidad",M57,"")),"")</f>
        <v>0.2</v>
      </c>
      <c r="AC57" s="147" t="str">
        <f ca="1">IFERROR(IF(OR(AND(Y57="Muy Baja",AA57="Leve"),AND(Y57="Muy Baja",AA57="Menor"),AND(Y57="Baja",AA57="Leve")),"Bajo",IF(OR(AND(Y57="Muy baja",AA57="Moderado"),AND(Y57="Baja",AA57="Menor"),AND(Y57="Baja",AA57="Moderado"),AND(Y57="Media",AA57="Leve"),AND(Y57="Media",AA57="Menor"),AND(Y57="Media",AA57="Moderado"),AND(Y57="Alta",AA57="Leve"),AND(Y57="Alta",AA57="Menor")),"Moderado",IF(OR(AND(Y57="Muy Baja",AA57="Mayor"),AND(Y57="Baja",AA57="Mayor"),AND(Y57="Media",AA57="Mayor"),AND(Y57="Alta",AA57="Moderado"),AND(Y57="Alta",AA57="Mayor"),AND(Y57="Muy Alta",AA57="Leve"),AND(Y57="Muy Alta",AA57="Menor"),AND(Y57="Muy Alta",AA57="Moderado"),AND(Y57="Muy Alta",AA57="Mayor")),"Alto",IF(OR(AND(Y57="Muy Baja",AA57="Catastrófico"),AND(Y57="Baja",AA57="Catastrófico"),AND(Y57="Media",AA57="Catastrófico"),AND(Y57="Alta",AA57="Catastrófico"),AND(Y57="Muy Alta",AA57="Catastrófico")),"Extremo","")))),"")</f>
        <v>Bajo</v>
      </c>
      <c r="AD57" s="144" t="s">
        <v>179</v>
      </c>
      <c r="AE57" s="152" t="s">
        <v>393</v>
      </c>
      <c r="AF57" s="165" t="s">
        <v>460</v>
      </c>
      <c r="AG57" s="164">
        <v>46055</v>
      </c>
      <c r="AH57" s="164">
        <v>46374</v>
      </c>
      <c r="AI57" s="164"/>
      <c r="AJ57" s="164"/>
      <c r="AK57" s="164"/>
      <c r="AL57" s="164"/>
      <c r="AM57" s="164"/>
      <c r="AN57" s="164"/>
      <c r="AO57" s="88"/>
      <c r="AP57" s="164"/>
      <c r="AQ57" s="151"/>
      <c r="AR57" s="151"/>
    </row>
    <row r="58" spans="1:44" s="89" customFormat="1" ht="130.5" customHeight="1" x14ac:dyDescent="0.25">
      <c r="A58" s="241">
        <v>28</v>
      </c>
      <c r="B58" s="242" t="s">
        <v>282</v>
      </c>
      <c r="C58" s="243" t="s">
        <v>180</v>
      </c>
      <c r="D58" s="243" t="s">
        <v>289</v>
      </c>
      <c r="E58" s="244" t="s">
        <v>285</v>
      </c>
      <c r="F58" s="243" t="s">
        <v>191</v>
      </c>
      <c r="G58" s="245">
        <v>500</v>
      </c>
      <c r="H58" s="233" t="str">
        <f t="shared" ref="H58" si="65">IF(G58&lt;=0,"",IF(G58&lt;=2,"Muy Baja",IF(G58&lt;=24,"Baja",IF(G58&lt;=500,"Media",IF(G58&lt;=5000,"Alta","Muy Alta")))))</f>
        <v>Media</v>
      </c>
      <c r="I58" s="234">
        <f t="shared" ref="I58" si="66">IF(H58="","",IF(H58="Muy Baja",0.2,IF(H58="Baja",0.4,IF(H58="Media",0.6,IF(H58="Alta",0.8,IF(H58="Muy Alta",1,))))))</f>
        <v>0.6</v>
      </c>
      <c r="J58" s="236" t="s">
        <v>137</v>
      </c>
      <c r="K58" s="234" t="str">
        <f ca="1">IF(NOT(ISERROR(MATCH(J58,'Tabla Impacto'!$B$221:$B$223,0))),'Tabla Impacto'!$F$223&amp;"Por favor no seleccionar los criterios de impacto(Afectación Económica o presupuestal y Pérdida Reputacional)",J58)</f>
        <v xml:space="preserve">     Entre 100 y 500 SMLMV </v>
      </c>
      <c r="L58" s="233" t="str">
        <f ca="1">IF(OR(K58='Tabla Impacto'!$C$11,K58='Tabla Impacto'!$D$11),"Leve",IF(OR(K58='Tabla Impacto'!$C$12,K58='Tabla Impacto'!$D$12),"Menor",IF(OR(K58='Tabla Impacto'!$C$13,K58='Tabla Impacto'!$D$13),"Moderado",IF(OR(K58='Tabla Impacto'!$C$14,K58='Tabla Impacto'!$D$14),"Mayor",IF(OR(K58='Tabla Impacto'!$C$15,K58='Tabla Impacto'!$D$15),"Catastrófico","")))))</f>
        <v>Mayor</v>
      </c>
      <c r="M58" s="234">
        <f t="shared" ref="M58" ca="1" si="67">IF(L58="","",IF(L58="Leve",0.2,IF(L58="Menor",0.4,IF(L58="Moderado",0.6,IF(L58="Mayor",0.8,IF(L58="Catastrófico",1,))))))</f>
        <v>0.8</v>
      </c>
      <c r="N58" s="235" t="str">
        <f t="shared" ref="N58" ca="1" si="68">IF(OR(AND(H58="Muy Baja",L58="Leve"),AND(H58="Muy Baja",L58="Menor"),AND(H58="Baja",L58="Leve")),"Bajo",IF(OR(AND(H58="Muy baja",L58="Moderado"),AND(H58="Baja",L58="Menor"),AND(H58="Baja",L58="Moderado"),AND(H58="Media",L58="Leve"),AND(H58="Media",L58="Menor"),AND(H58="Media",L58="Moderado"),AND(H58="Alta",L58="Leve"),AND(H58="Alta",L58="Menor")),"Moderado",IF(OR(AND(H58="Muy Baja",L58="Mayor"),AND(H58="Baja",L58="Mayor"),AND(H58="Media",L58="Mayor"),AND(H58="Alta",L58="Moderado"),AND(H58="Alta",L58="Mayor"),AND(H58="Muy Alta",L58="Leve"),AND(H58="Muy Alta",L58="Menor"),AND(H58="Muy Alta",L58="Moderado"),AND(H58="Muy Alta",L58="Mayor")),"Alto",IF(OR(AND(H58="Muy Baja",L58="Catastrófico"),AND(H58="Baja",L58="Catastrófico"),AND(H58="Media",L58="Catastrófico"),AND(H58="Alta",L58="Catastrófico"),AND(H58="Muy Alta",L58="Catastrófico")),"Extremo",""))))</f>
        <v>Alto</v>
      </c>
      <c r="O58" s="136">
        <v>1</v>
      </c>
      <c r="P58" s="97" t="s">
        <v>293</v>
      </c>
      <c r="Q58" s="148" t="str">
        <f>IF(OR(R58="Preventivo",R58="Detectivo"),"Probabilidad",IF(R58="Correctivo","Impacto",""))</f>
        <v>Probabilidad</v>
      </c>
      <c r="R58" s="144" t="s">
        <v>152</v>
      </c>
      <c r="S58" s="144" t="s">
        <v>160</v>
      </c>
      <c r="T58" s="145" t="str">
        <f>IF(AND(R58="Preventivo",S58="Automático"),"50%",IF(AND(R58="Preventivo",S58="Manual"),"40%",IF(AND(R58="Detectivo",S58="Automático"),"40%",IF(AND(R58="Detectivo",S58="Manual"),"30%",IF(AND(R58="Correctivo",S58="Automático"),"35%",IF(AND(R58="Correctivo",S58="Manual"),"25%",""))))))</f>
        <v>40%</v>
      </c>
      <c r="U58" s="144" t="s">
        <v>163</v>
      </c>
      <c r="V58" s="144" t="s">
        <v>168</v>
      </c>
      <c r="W58" s="144" t="s">
        <v>172</v>
      </c>
      <c r="X58" s="146">
        <f>IFERROR(IF(Q58="Probabilidad",(I58-(+I58*T58)),IF(Q58="Impacto",I58,"")),"")</f>
        <v>0.36</v>
      </c>
      <c r="Y58" s="142" t="str">
        <f>IFERROR(IF(X58="","",IF(X58&lt;=0.2,"Muy Baja",IF(X58&lt;=0.4,"Baja",IF(X58&lt;=0.6,"Media",IF(X58&lt;=0.8,"Alta","Muy Alta"))))),"")</f>
        <v>Baja</v>
      </c>
      <c r="Z58" s="145">
        <f>+X58</f>
        <v>0.36</v>
      </c>
      <c r="AA58" s="142" t="str">
        <f ca="1">IFERROR(IF(AB58="","",IF(AB58&lt;=0.2,"Leve",IF(AB58&lt;=0.4,"Menor",IF(AB58&lt;=0.6,"Moderado",IF(AB58&lt;=0.8,"Mayor","Catastrófico"))))),"")</f>
        <v>Mayor</v>
      </c>
      <c r="AB58" s="145">
        <f ca="1">IFERROR(IF(Q58="Impacto",(M58-(+M58*T58)),IF(Q58="Probabilidad",M58,"")),"")</f>
        <v>0.8</v>
      </c>
      <c r="AC58" s="147" t="str">
        <f ca="1">IFERROR(IF(OR(AND(Y58="Muy Baja",AA58="Leve"),AND(Y58="Muy Baja",AA58="Menor"),AND(Y58="Baja",AA58="Leve")),"Bajo",IF(OR(AND(Y58="Muy baja",AA58="Moderado"),AND(Y58="Baja",AA58="Menor"),AND(Y58="Baja",AA58="Moderado"),AND(Y58="Media",AA58="Leve"),AND(Y58="Media",AA58="Menor"),AND(Y58="Media",AA58="Moderado"),AND(Y58="Alta",AA58="Leve"),AND(Y58="Alta",AA58="Menor")),"Moderado",IF(OR(AND(Y58="Muy Baja",AA58="Mayor"),AND(Y58="Baja",AA58="Mayor"),AND(Y58="Media",AA58="Mayor"),AND(Y58="Alta",AA58="Moderado"),AND(Y58="Alta",AA58="Mayor"),AND(Y58="Muy Alta",AA58="Leve"),AND(Y58="Muy Alta",AA58="Menor"),AND(Y58="Muy Alta",AA58="Moderado"),AND(Y58="Muy Alta",AA58="Mayor")),"Alto",IF(OR(AND(Y58="Muy Baja",AA58="Catastrófico"),AND(Y58="Baja",AA58="Catastrófico"),AND(Y58="Media",AA58="Catastrófico"),AND(Y58="Alta",AA58="Catastrófico"),AND(Y58="Muy Alta",AA58="Catastrófico")),"Extremo","")))),"")</f>
        <v>Alto</v>
      </c>
      <c r="AD58" s="144" t="s">
        <v>179</v>
      </c>
      <c r="AE58" s="152" t="s">
        <v>296</v>
      </c>
      <c r="AF58" s="165" t="s">
        <v>460</v>
      </c>
      <c r="AG58" s="164">
        <v>46055</v>
      </c>
      <c r="AH58" s="164">
        <v>46374</v>
      </c>
      <c r="AI58" s="164"/>
      <c r="AJ58" s="164"/>
      <c r="AK58" s="164"/>
      <c r="AL58" s="164"/>
      <c r="AM58" s="164"/>
      <c r="AN58" s="164"/>
      <c r="AO58" s="164"/>
      <c r="AP58" s="164"/>
      <c r="AQ58" s="151"/>
      <c r="AR58" s="151"/>
    </row>
    <row r="59" spans="1:44" s="89" customFormat="1" ht="120" customHeight="1" x14ac:dyDescent="0.25">
      <c r="A59" s="241"/>
      <c r="B59" s="242"/>
      <c r="C59" s="243"/>
      <c r="D59" s="243"/>
      <c r="E59" s="244"/>
      <c r="F59" s="243"/>
      <c r="G59" s="245"/>
      <c r="H59" s="233"/>
      <c r="I59" s="234"/>
      <c r="J59" s="236"/>
      <c r="K59" s="234">
        <f ca="1">IF(NOT(ISERROR(MATCH(J59,_xlfn.ANCHORARRAY(E61),0))),#REF!&amp;"Por favor no seleccionar los criterios de impacto",J59)</f>
        <v>0</v>
      </c>
      <c r="L59" s="233"/>
      <c r="M59" s="234"/>
      <c r="N59" s="235"/>
      <c r="O59" s="136">
        <v>2</v>
      </c>
      <c r="P59" s="97" t="s">
        <v>294</v>
      </c>
      <c r="Q59" s="148" t="str">
        <f>IF(OR(R59="Preventivo",R59="Detectivo"),"Probabilidad",IF(R59="Correctivo","Impacto",""))</f>
        <v>Probabilidad</v>
      </c>
      <c r="R59" s="144" t="s">
        <v>152</v>
      </c>
      <c r="S59" s="144" t="s">
        <v>160</v>
      </c>
      <c r="T59" s="145" t="str">
        <f>IF(AND(R59="Preventivo",S59="Automático"),"50%",IF(AND(R59="Preventivo",S59="Manual"),"40%",IF(AND(R59="Detectivo",S59="Automático"),"40%",IF(AND(R59="Detectivo",S59="Manual"),"30%",IF(AND(R59="Correctivo",S59="Automático"),"35%",IF(AND(R59="Correctivo",S59="Manual"),"25%",""))))))</f>
        <v>40%</v>
      </c>
      <c r="U59" s="144" t="s">
        <v>163</v>
      </c>
      <c r="V59" s="144" t="s">
        <v>168</v>
      </c>
      <c r="W59" s="144" t="s">
        <v>172</v>
      </c>
      <c r="X59" s="146">
        <f>IFERROR(IF(Q59="Probabilidad",(I59-(+I59*T59)),IF(Q59="Impacto",I59,"")),"")</f>
        <v>0</v>
      </c>
      <c r="Y59" s="142" t="str">
        <f>IFERROR(IF(X59="","",IF(X59&lt;=0.2,"Muy Baja",IF(X59&lt;=0.4,"Baja",IF(X59&lt;=0.6,"Media",IF(X59&lt;=0.8,"Alta","Muy Alta"))))),"")</f>
        <v>Muy Baja</v>
      </c>
      <c r="Z59" s="145">
        <f>+X59</f>
        <v>0</v>
      </c>
      <c r="AA59" s="142" t="str">
        <f>IFERROR(IF(AB59="","",IF(AB59&lt;=0.2,"Leve",IF(AB59&lt;=0.4,"Menor",IF(AB59&lt;=0.6,"Moderado",IF(AB59&lt;=0.8,"Mayor","Catastrófico"))))),"")</f>
        <v>Leve</v>
      </c>
      <c r="AB59" s="145">
        <f>IFERROR(IF(Q59="Impacto",(M59-(+M59*T59)),IF(Q59="Probabilidad",M59,"")),"")</f>
        <v>0</v>
      </c>
      <c r="AC59" s="147" t="str">
        <f>IFERROR(IF(OR(AND(Y59="Muy Baja",AA59="Leve"),AND(Y59="Muy Baja",AA59="Menor"),AND(Y59="Baja",AA59="Leve")),"Bajo",IF(OR(AND(Y59="Muy baja",AA59="Moderado"),AND(Y59="Baja",AA59="Menor"),AND(Y59="Baja",AA59="Moderado"),AND(Y59="Media",AA59="Leve"),AND(Y59="Media",AA59="Menor"),AND(Y59="Media",AA59="Moderado"),AND(Y59="Alta",AA59="Leve"),AND(Y59="Alta",AA59="Menor")),"Moderado",IF(OR(AND(Y59="Muy Baja",AA59="Mayor"),AND(Y59="Baja",AA59="Mayor"),AND(Y59="Media",AA59="Mayor"),AND(Y59="Alta",AA59="Moderado"),AND(Y59="Alta",AA59="Mayor"),AND(Y59="Muy Alta",AA59="Leve"),AND(Y59="Muy Alta",AA59="Menor"),AND(Y59="Muy Alta",AA59="Moderado"),AND(Y59="Muy Alta",AA59="Mayor")),"Alto",IF(OR(AND(Y59="Muy Baja",AA59="Catastrófico"),AND(Y59="Baja",AA59="Catastrófico"),AND(Y59="Media",AA59="Catastrófico"),AND(Y59="Alta",AA59="Catastrófico"),AND(Y59="Muy Alta",AA59="Catastrófico")),"Extremo","")))),"")</f>
        <v>Bajo</v>
      </c>
      <c r="AD59" s="144" t="s">
        <v>179</v>
      </c>
      <c r="AE59" s="152" t="s">
        <v>297</v>
      </c>
      <c r="AF59" s="165" t="s">
        <v>460</v>
      </c>
      <c r="AG59" s="164">
        <v>46055</v>
      </c>
      <c r="AH59" s="164">
        <v>46374</v>
      </c>
      <c r="AI59" s="164"/>
      <c r="AJ59" s="164"/>
      <c r="AK59" s="164"/>
      <c r="AL59" s="164"/>
      <c r="AM59" s="164"/>
      <c r="AN59" s="164"/>
      <c r="AO59" s="164"/>
      <c r="AP59" s="164"/>
      <c r="AQ59" s="151"/>
      <c r="AR59" s="151"/>
    </row>
    <row r="60" spans="1:44" s="89" customFormat="1" ht="161.25" customHeight="1" x14ac:dyDescent="0.25">
      <c r="A60" s="157">
        <v>29</v>
      </c>
      <c r="B60" s="136" t="s">
        <v>282</v>
      </c>
      <c r="C60" s="158" t="s">
        <v>180</v>
      </c>
      <c r="D60" s="158" t="s">
        <v>290</v>
      </c>
      <c r="E60" s="160" t="s">
        <v>286</v>
      </c>
      <c r="F60" s="158" t="s">
        <v>191</v>
      </c>
      <c r="G60" s="159">
        <v>24</v>
      </c>
      <c r="H60" s="155" t="str">
        <f t="shared" ref="H60" si="69">IF(G60&lt;=0,"",IF(G60&lt;=2,"Muy Baja",IF(G60&lt;=24,"Baja",IF(G60&lt;=500,"Media",IF(G60&lt;=5000,"Alta","Muy Alta")))))</f>
        <v>Baja</v>
      </c>
      <c r="I60" s="137">
        <f t="shared" ref="I60" si="70">IF(H60="","",IF(H60="Muy Baja",0.2,IF(H60="Baja",0.4,IF(H60="Media",0.6,IF(H60="Alta",0.8,IF(H60="Muy Alta",1,))))))</f>
        <v>0.4</v>
      </c>
      <c r="J60" s="156" t="s">
        <v>135</v>
      </c>
      <c r="K60" s="137" t="str">
        <f ca="1">IF(NOT(ISERROR(MATCH(J60,'Tabla Impacto'!$B$221:$B$223,0))),'Tabla Impacto'!$F$223&amp;"Por favor no seleccionar los criterios de impacto(Afectación Económica o presupuestal y Pérdida Reputacional)",J60)</f>
        <v xml:space="preserve">     Entre 50 y 100 SMLMV </v>
      </c>
      <c r="L60" s="155" t="str">
        <f ca="1">IF(OR(K60='Tabla Impacto'!$C$11,K60='Tabla Impacto'!$D$11),"Leve",IF(OR(K60='Tabla Impacto'!$C$12,K60='Tabla Impacto'!$D$12),"Menor",IF(OR(K60='Tabla Impacto'!$C$13,K60='Tabla Impacto'!$D$13),"Moderado",IF(OR(K60='Tabla Impacto'!$C$14,K60='Tabla Impacto'!$D$14),"Mayor",IF(OR(K60='Tabla Impacto'!$C$15,K60='Tabla Impacto'!$D$15),"Catastrófico","")))))</f>
        <v>Moderado</v>
      </c>
      <c r="M60" s="137">
        <f t="shared" ref="M60" ca="1" si="71">IF(L60="","",IF(L60="Leve",0.2,IF(L60="Menor",0.4,IF(L60="Moderado",0.6,IF(L60="Mayor",0.8,IF(L60="Catastrófico",1,))))))</f>
        <v>0.6</v>
      </c>
      <c r="N60" s="154" t="str">
        <f t="shared" ref="N60" ca="1" si="72">IF(OR(AND(H60="Muy Baja",L60="Leve"),AND(H60="Muy Baja",L60="Menor"),AND(H60="Baja",L60="Leve")),"Bajo",IF(OR(AND(H60="Muy baja",L60="Moderado"),AND(H60="Baja",L60="Menor"),AND(H60="Baja",L60="Moderado"),AND(H60="Media",L60="Leve"),AND(H60="Media",L60="Menor"),AND(H60="Media",L60="Moderado"),AND(H60="Alta",L60="Leve"),AND(H60="Alta",L60="Menor")),"Moderado",IF(OR(AND(H60="Muy Baja",L60="Mayor"),AND(H60="Baja",L60="Mayor"),AND(H60="Media",L60="Mayor"),AND(H60="Alta",L60="Moderado"),AND(H60="Alta",L60="Mayor"),AND(H60="Muy Alta",L60="Leve"),AND(H60="Muy Alta",L60="Menor"),AND(H60="Muy Alta",L60="Moderado"),AND(H60="Muy Alta",L60="Mayor")),"Alto",IF(OR(AND(H60="Muy Baja",L60="Catastrófico"),AND(H60="Baja",L60="Catastrófico"),AND(H60="Media",L60="Catastrófico"),AND(H60="Alta",L60="Catastrófico"),AND(H60="Muy Alta",L60="Catastrófico")),"Extremo",""))))</f>
        <v>Moderado</v>
      </c>
      <c r="O60" s="136">
        <v>1</v>
      </c>
      <c r="P60" s="97" t="s">
        <v>291</v>
      </c>
      <c r="Q60" s="148" t="str">
        <f>IF(OR(R60="Preventivo",R60="Detectivo"),"Probabilidad",IF(R60="Correctivo","Impacto",""))</f>
        <v>Probabilidad</v>
      </c>
      <c r="R60" s="144" t="s">
        <v>152</v>
      </c>
      <c r="S60" s="144" t="s">
        <v>160</v>
      </c>
      <c r="T60" s="145" t="str">
        <f>IF(AND(R60="Preventivo",S60="Automático"),"50%",IF(AND(R60="Preventivo",S60="Manual"),"40%",IF(AND(R60="Detectivo",S60="Automático"),"40%",IF(AND(R60="Detectivo",S60="Manual"),"30%",IF(AND(R60="Correctivo",S60="Automático"),"35%",IF(AND(R60="Correctivo",S60="Manual"),"25%",""))))))</f>
        <v>40%</v>
      </c>
      <c r="U60" s="144" t="s">
        <v>163</v>
      </c>
      <c r="V60" s="144" t="s">
        <v>168</v>
      </c>
      <c r="W60" s="144" t="s">
        <v>172</v>
      </c>
      <c r="X60" s="146">
        <f>IFERROR(IF(Q60="Probabilidad",(I60-(+I60*T60)),IF(Q60="Impacto",I60,"")),"")</f>
        <v>0.24</v>
      </c>
      <c r="Y60" s="142" t="str">
        <f>IFERROR(IF(X60="","",IF(X60&lt;=0.2,"Muy Baja",IF(X60&lt;=0.4,"Baja",IF(X60&lt;=0.6,"Media",IF(X60&lt;=0.8,"Alta","Muy Alta"))))),"")</f>
        <v>Baja</v>
      </c>
      <c r="Z60" s="145">
        <f>+X60</f>
        <v>0.24</v>
      </c>
      <c r="AA60" s="142" t="str">
        <f ca="1">IFERROR(IF(AB60="","",IF(AB60&lt;=0.2,"Leve",IF(AB60&lt;=0.4,"Menor",IF(AB60&lt;=0.6,"Moderado",IF(AB60&lt;=0.8,"Mayor","Catastrófico"))))),"")</f>
        <v>Moderado</v>
      </c>
      <c r="AB60" s="145">
        <f ca="1">IFERROR(IF(Q60="Impacto",(M60-(+M60*T60)),IF(Q60="Probabilidad",M60,"")),"")</f>
        <v>0.6</v>
      </c>
      <c r="AC60" s="147" t="str">
        <f ca="1">IFERROR(IF(OR(AND(Y60="Muy Baja",AA60="Leve"),AND(Y60="Muy Baja",AA60="Menor"),AND(Y60="Baja",AA60="Leve")),"Bajo",IF(OR(AND(Y60="Muy baja",AA60="Moderado"),AND(Y60="Baja",AA60="Menor"),AND(Y60="Baja",AA60="Moderado"),AND(Y60="Media",AA60="Leve"),AND(Y60="Media",AA60="Menor"),AND(Y60="Media",AA60="Moderado"),AND(Y60="Alta",AA60="Leve"),AND(Y60="Alta",AA60="Menor")),"Moderado",IF(OR(AND(Y60="Muy Baja",AA60="Mayor"),AND(Y60="Baja",AA60="Mayor"),AND(Y60="Media",AA60="Mayor"),AND(Y60="Alta",AA60="Moderado"),AND(Y60="Alta",AA60="Mayor"),AND(Y60="Muy Alta",AA60="Leve"),AND(Y60="Muy Alta",AA60="Menor"),AND(Y60="Muy Alta",AA60="Moderado"),AND(Y60="Muy Alta",AA60="Mayor")),"Alto",IF(OR(AND(Y60="Muy Baja",AA60="Catastrófico"),AND(Y60="Baja",AA60="Catastrófico"),AND(Y60="Media",AA60="Catastrófico"),AND(Y60="Alta",AA60="Catastrófico"),AND(Y60="Muy Alta",AA60="Catastrófico")),"Extremo","")))),"")</f>
        <v>Moderado</v>
      </c>
      <c r="AD60" s="144" t="s">
        <v>179</v>
      </c>
      <c r="AE60" s="152" t="s">
        <v>394</v>
      </c>
      <c r="AF60" s="165" t="s">
        <v>460</v>
      </c>
      <c r="AG60" s="164">
        <v>46055</v>
      </c>
      <c r="AH60" s="164">
        <v>46374</v>
      </c>
      <c r="AI60" s="164"/>
      <c r="AJ60" s="164"/>
      <c r="AK60" s="164"/>
      <c r="AL60" s="164"/>
      <c r="AM60" s="164"/>
      <c r="AN60" s="164"/>
      <c r="AO60" s="164"/>
      <c r="AP60" s="164"/>
      <c r="AQ60" s="151"/>
      <c r="AR60" s="151"/>
    </row>
    <row r="61" spans="1:44" s="89" customFormat="1" ht="232.5" customHeight="1" x14ac:dyDescent="0.25">
      <c r="A61" s="241">
        <v>30</v>
      </c>
      <c r="B61" s="242" t="s">
        <v>298</v>
      </c>
      <c r="C61" s="243" t="s">
        <v>180</v>
      </c>
      <c r="D61" s="243" t="s">
        <v>300</v>
      </c>
      <c r="E61" s="244" t="s">
        <v>357</v>
      </c>
      <c r="F61" s="243" t="s">
        <v>370</v>
      </c>
      <c r="G61" s="245">
        <v>2</v>
      </c>
      <c r="H61" s="233" t="str">
        <f t="shared" ref="H61" si="73">IF(G61&lt;=0,"",IF(G61&lt;=2,"Muy Baja",IF(G61&lt;=24,"Baja",IF(G61&lt;=500,"Media",IF(G61&lt;=5000,"Alta","Muy Alta")))))</f>
        <v>Muy Baja</v>
      </c>
      <c r="I61" s="234">
        <f t="shared" ref="I61" si="74">IF(H61="","",IF(H61="Muy Baja",0.2,IF(H61="Baja",0.4,IF(H61="Media",0.6,IF(H61="Alta",0.8,IF(H61="Muy Alta",1,))))))</f>
        <v>0.2</v>
      </c>
      <c r="J61" s="236" t="s">
        <v>134</v>
      </c>
      <c r="K61" s="234" t="str">
        <f ca="1">IF(NOT(ISERROR(MATCH(J61,'Tabla Impacto'!$B$221:$B$223,0))),'Tabla Impacto'!$F$223&amp;"Por favor no seleccionar los criterios de impacto(Afectación Económica o presupuestal y Pérdida Reputacional)",J61)</f>
        <v xml:space="preserve">     El riesgo afecta la imagen de la entidad internamente, de conocimiento general, nivel interno, de junta dircetiva y accionistas y/o de provedores</v>
      </c>
      <c r="L61" s="233" t="str">
        <f ca="1">IF(OR(K61='Tabla Impacto'!$C$11,K61='Tabla Impacto'!$D$11),"Leve",IF(OR(K61='Tabla Impacto'!$C$12,K61='Tabla Impacto'!$D$12),"Menor",IF(OR(K61='Tabla Impacto'!$C$13,K61='Tabla Impacto'!$D$13),"Moderado",IF(OR(K61='Tabla Impacto'!$C$14,K61='Tabla Impacto'!$D$14),"Mayor",IF(OR(K61='Tabla Impacto'!$C$15,K61='Tabla Impacto'!$D$15),"Catastrófico","")))))</f>
        <v>Menor</v>
      </c>
      <c r="M61" s="234">
        <f t="shared" ref="M61" ca="1" si="75">IF(L61="","",IF(L61="Leve",0.2,IF(L61="Menor",0.4,IF(L61="Moderado",0.6,IF(L61="Mayor",0.8,IF(L61="Catastrófico",1,))))))</f>
        <v>0.4</v>
      </c>
      <c r="N61" s="235" t="str">
        <f t="shared" ref="N61" ca="1" si="76">IF(OR(AND(H61="Muy Baja",L61="Leve"),AND(H61="Muy Baja",L61="Menor"),AND(H61="Baja",L61="Leve")),"Bajo",IF(OR(AND(H61="Muy baja",L61="Moderado"),AND(H61="Baja",L61="Menor"),AND(H61="Baja",L61="Moderado"),AND(H61="Media",L61="Leve"),AND(H61="Media",L61="Menor"),AND(H61="Media",L61="Moderado"),AND(H61="Alta",L61="Leve"),AND(H61="Alta",L61="Menor")),"Moderado",IF(OR(AND(H61="Muy Baja",L61="Mayor"),AND(H61="Baja",L61="Mayor"),AND(H61="Media",L61="Mayor"),AND(H61="Alta",L61="Moderado"),AND(H61="Alta",L61="Mayor"),AND(H61="Muy Alta",L61="Leve"),AND(H61="Muy Alta",L61="Menor"),AND(H61="Muy Alta",L61="Moderado"),AND(H61="Muy Alta",L61="Mayor")),"Alto",IF(OR(AND(H61="Muy Baja",L61="Catastrófico"),AND(H61="Baja",L61="Catastrófico"),AND(H61="Media",L61="Catastrófico"),AND(H61="Alta",L61="Catastrófico"),AND(H61="Muy Alta",L61="Catastrófico")),"Extremo",""))))</f>
        <v>Bajo</v>
      </c>
      <c r="O61" s="136">
        <v>1</v>
      </c>
      <c r="P61" s="97" t="s">
        <v>395</v>
      </c>
      <c r="Q61" s="148" t="str">
        <f>IF(OR(R61="Preventivo",R61="Detectivo"),"Probabilidad",IF(R61="Correctivo","Impacto",""))</f>
        <v>Probabilidad</v>
      </c>
      <c r="R61" s="144" t="s">
        <v>152</v>
      </c>
      <c r="S61" s="144" t="s">
        <v>160</v>
      </c>
      <c r="T61" s="145" t="str">
        <f>IF(AND(R61="Preventivo",S61="Automático"),"50%",IF(AND(R61="Preventivo",S61="Manual"),"40%",IF(AND(R61="Detectivo",S61="Automático"),"40%",IF(AND(R61="Detectivo",S61="Manual"),"30%",IF(AND(R61="Correctivo",S61="Automático"),"35%",IF(AND(R61="Correctivo",S61="Manual"),"25%",""))))))</f>
        <v>40%</v>
      </c>
      <c r="U61" s="144" t="s">
        <v>163</v>
      </c>
      <c r="V61" s="144" t="s">
        <v>168</v>
      </c>
      <c r="W61" s="144" t="s">
        <v>172</v>
      </c>
      <c r="X61" s="146">
        <f>IFERROR(IF(Q61="Probabilidad",(I61-(+I61*T61)),IF(Q61="Impacto",I61,"")),"")</f>
        <v>0.12</v>
      </c>
      <c r="Y61" s="142" t="str">
        <f>IFERROR(IF(X61="","",IF(X61&lt;=0.2,"Muy Baja",IF(X61&lt;=0.4,"Baja",IF(X61&lt;=0.6,"Media",IF(X61&lt;=0.8,"Alta","Muy Alta"))))),"")</f>
        <v>Muy Baja</v>
      </c>
      <c r="Z61" s="145">
        <f>+X61</f>
        <v>0.12</v>
      </c>
      <c r="AA61" s="142" t="str">
        <f ca="1">IFERROR(IF(AB61="","",IF(AB61&lt;=0.2,"Leve",IF(AB61&lt;=0.4,"Menor",IF(AB61&lt;=0.6,"Moderado",IF(AB61&lt;=0.8,"Mayor","Catastrófico"))))),"")</f>
        <v>Menor</v>
      </c>
      <c r="AB61" s="145">
        <f ca="1">IFERROR(IF(Q61="Impacto",(M61-(+M61*T61)),IF(Q61="Probabilidad",M61,"")),"")</f>
        <v>0.4</v>
      </c>
      <c r="AC61" s="147" t="str">
        <f ca="1">IFERROR(IF(OR(AND(Y61="Muy Baja",AA61="Leve"),AND(Y61="Muy Baja",AA61="Menor"),AND(Y61="Baja",AA61="Leve")),"Bajo",IF(OR(AND(Y61="Muy baja",AA61="Moderado"),AND(Y61="Baja",AA61="Menor"),AND(Y61="Baja",AA61="Moderado"),AND(Y61="Media",AA61="Leve"),AND(Y61="Media",AA61="Menor"),AND(Y61="Media",AA61="Moderado"),AND(Y61="Alta",AA61="Leve"),AND(Y61="Alta",AA61="Menor")),"Moderado",IF(OR(AND(Y61="Muy Baja",AA61="Mayor"),AND(Y61="Baja",AA61="Mayor"),AND(Y61="Media",AA61="Mayor"),AND(Y61="Alta",AA61="Moderado"),AND(Y61="Alta",AA61="Mayor"),AND(Y61="Muy Alta",AA61="Leve"),AND(Y61="Muy Alta",AA61="Menor"),AND(Y61="Muy Alta",AA61="Moderado"),AND(Y61="Muy Alta",AA61="Mayor")),"Alto",IF(OR(AND(Y61="Muy Baja",AA61="Catastrófico"),AND(Y61="Baja",AA61="Catastrófico"),AND(Y61="Media",AA61="Catastrófico"),AND(Y61="Alta",AA61="Catastrófico"),AND(Y61="Muy Alta",AA61="Catastrófico")),"Extremo","")))),"")</f>
        <v>Bajo</v>
      </c>
      <c r="AD61" s="144" t="s">
        <v>179</v>
      </c>
      <c r="AE61" s="152" t="s">
        <v>396</v>
      </c>
      <c r="AF61" s="151" t="s">
        <v>437</v>
      </c>
      <c r="AG61" s="164">
        <v>46055</v>
      </c>
      <c r="AH61" s="164">
        <v>46374</v>
      </c>
      <c r="AI61" s="164"/>
      <c r="AJ61" s="164"/>
      <c r="AK61" s="164"/>
      <c r="AL61" s="167"/>
      <c r="AM61" s="164"/>
      <c r="AN61" s="173"/>
      <c r="AO61" s="176"/>
      <c r="AP61" s="163"/>
      <c r="AQ61" s="151"/>
      <c r="AR61" s="151"/>
    </row>
    <row r="62" spans="1:44" s="89" customFormat="1" ht="409.5" customHeight="1" x14ac:dyDescent="0.25">
      <c r="A62" s="241"/>
      <c r="B62" s="242"/>
      <c r="C62" s="243"/>
      <c r="D62" s="243"/>
      <c r="E62" s="244"/>
      <c r="F62" s="243"/>
      <c r="G62" s="245"/>
      <c r="H62" s="233"/>
      <c r="I62" s="234"/>
      <c r="J62" s="236"/>
      <c r="K62" s="234">
        <f ca="1">IF(NOT(ISERROR(MATCH(J62,_xlfn.ANCHORARRAY(E64),0))),#REF!&amp;"Por favor no seleccionar los criterios de impacto",J62)</f>
        <v>0</v>
      </c>
      <c r="L62" s="233"/>
      <c r="M62" s="234"/>
      <c r="N62" s="235"/>
      <c r="O62" s="136">
        <v>2</v>
      </c>
      <c r="P62" s="97" t="s">
        <v>302</v>
      </c>
      <c r="Q62" s="148" t="str">
        <f t="shared" ref="Q62:Q65" si="77">IF(OR(R62="Preventivo",R62="Detectivo"),"Probabilidad",IF(R62="Correctivo","Impacto",""))</f>
        <v>Probabilidad</v>
      </c>
      <c r="R62" s="144" t="s">
        <v>152</v>
      </c>
      <c r="S62" s="144" t="s">
        <v>160</v>
      </c>
      <c r="T62" s="145" t="str">
        <f t="shared" ref="T62:T65" si="78">IF(AND(R62="Preventivo",S62="Automático"),"50%",IF(AND(R62="Preventivo",S62="Manual"),"40%",IF(AND(R62="Detectivo",S62="Automático"),"40%",IF(AND(R62="Detectivo",S62="Manual"),"30%",IF(AND(R62="Correctivo",S62="Automático"),"35%",IF(AND(R62="Correctivo",S62="Manual"),"25%",""))))))</f>
        <v>40%</v>
      </c>
      <c r="U62" s="144" t="s">
        <v>163</v>
      </c>
      <c r="V62" s="144" t="s">
        <v>168</v>
      </c>
      <c r="W62" s="144" t="s">
        <v>172</v>
      </c>
      <c r="X62" s="146">
        <f t="shared" ref="X62:X65" si="79">IFERROR(IF(Q62="Probabilidad",(I62-(+I62*T62)),IF(Q62="Impacto",I62,"")),"")</f>
        <v>0</v>
      </c>
      <c r="Y62" s="142" t="str">
        <f t="shared" ref="Y62:Y65" si="80">IFERROR(IF(X62="","",IF(X62&lt;=0.2,"Muy Baja",IF(X62&lt;=0.4,"Baja",IF(X62&lt;=0.6,"Media",IF(X62&lt;=0.8,"Alta","Muy Alta"))))),"")</f>
        <v>Muy Baja</v>
      </c>
      <c r="Z62" s="145">
        <f t="shared" ref="Z62:Z65" si="81">+X62</f>
        <v>0</v>
      </c>
      <c r="AA62" s="142" t="str">
        <f t="shared" ref="AA62:AA65" si="82">IFERROR(IF(AB62="","",IF(AB62&lt;=0.2,"Leve",IF(AB62&lt;=0.4,"Menor",IF(AB62&lt;=0.6,"Moderado",IF(AB62&lt;=0.8,"Mayor","Catastrófico"))))),"")</f>
        <v>Leve</v>
      </c>
      <c r="AB62" s="145">
        <f t="shared" ref="AB62:AB65" si="83">IFERROR(IF(Q62="Impacto",(M62-(+M62*T62)),IF(Q62="Probabilidad",M62,"")),"")</f>
        <v>0</v>
      </c>
      <c r="AC62" s="147" t="str">
        <f t="shared" ref="AC62:AC65" si="84">IFERROR(IF(OR(AND(Y62="Muy Baja",AA62="Leve"),AND(Y62="Muy Baja",AA62="Menor"),AND(Y62="Baja",AA62="Leve")),"Bajo",IF(OR(AND(Y62="Muy baja",AA62="Moderado"),AND(Y62="Baja",AA62="Menor"),AND(Y62="Baja",AA62="Moderado"),AND(Y62="Media",AA62="Leve"),AND(Y62="Media",AA62="Menor"),AND(Y62="Media",AA62="Moderado"),AND(Y62="Alta",AA62="Leve"),AND(Y62="Alta",AA62="Menor")),"Moderado",IF(OR(AND(Y62="Muy Baja",AA62="Mayor"),AND(Y62="Baja",AA62="Mayor"),AND(Y62="Media",AA62="Mayor"),AND(Y62="Alta",AA62="Moderado"),AND(Y62="Alta",AA62="Mayor"),AND(Y62="Muy Alta",AA62="Leve"),AND(Y62="Muy Alta",AA62="Menor"),AND(Y62="Muy Alta",AA62="Moderado"),AND(Y62="Muy Alta",AA62="Mayor")),"Alto",IF(OR(AND(Y62="Muy Baja",AA62="Catastrófico"),AND(Y62="Baja",AA62="Catastrófico"),AND(Y62="Media",AA62="Catastrófico"),AND(Y62="Alta",AA62="Catastrófico"),AND(Y62="Muy Alta",AA62="Catastrófico")),"Extremo","")))),"")</f>
        <v>Bajo</v>
      </c>
      <c r="AD62" s="144" t="s">
        <v>179</v>
      </c>
      <c r="AE62" s="152" t="s">
        <v>303</v>
      </c>
      <c r="AF62" s="151" t="s">
        <v>447</v>
      </c>
      <c r="AG62" s="164">
        <v>46055</v>
      </c>
      <c r="AH62" s="164">
        <v>46374</v>
      </c>
      <c r="AI62" s="164"/>
      <c r="AJ62" s="164"/>
      <c r="AK62" s="164"/>
      <c r="AL62" s="164"/>
      <c r="AM62" s="164"/>
      <c r="AN62" s="164"/>
      <c r="AO62" s="164"/>
      <c r="AP62" s="164"/>
      <c r="AQ62" s="151"/>
      <c r="AR62" s="151"/>
    </row>
    <row r="63" spans="1:44" s="89" customFormat="1" ht="170.25" customHeight="1" x14ac:dyDescent="0.25">
      <c r="A63" s="157">
        <v>31</v>
      </c>
      <c r="B63" s="136" t="s">
        <v>298</v>
      </c>
      <c r="C63" s="158" t="s">
        <v>180</v>
      </c>
      <c r="D63" s="158" t="s">
        <v>301</v>
      </c>
      <c r="E63" s="160" t="s">
        <v>299</v>
      </c>
      <c r="F63" s="158"/>
      <c r="G63" s="159">
        <v>24</v>
      </c>
      <c r="H63" s="155" t="str">
        <f t="shared" ref="H63" si="85">IF(G63&lt;=0,"",IF(G63&lt;=2,"Muy Baja",IF(G63&lt;=24,"Baja",IF(G63&lt;=500,"Media",IF(G63&lt;=5000,"Alta","Muy Alta")))))</f>
        <v>Baja</v>
      </c>
      <c r="I63" s="137">
        <f t="shared" ref="I63" si="86">IF(H63="","",IF(H63="Muy Baja",0.2,IF(H63="Baja",0.4,IF(H63="Media",0.6,IF(H63="Alta",0.8,IF(H63="Muy Alta",1,))))))</f>
        <v>0.4</v>
      </c>
      <c r="J63" s="156" t="s">
        <v>136</v>
      </c>
      <c r="K63" s="137" t="str">
        <f ca="1">IF(NOT(ISERROR(MATCH(J63,'Tabla Impacto'!$B$221:$B$223,0))),'Tabla Impacto'!$F$223&amp;"Por favor no seleccionar los criterios de impacto(Afectación Económica o presupuestal y Pérdida Reputacional)",J63)</f>
        <v xml:space="preserve">     El riesgo afecta la imagen de la entidad con algunos usuarios de relevancia frente al logro de los objetivos</v>
      </c>
      <c r="L63" s="155" t="str">
        <f ca="1">IF(OR(K63='Tabla Impacto'!$C$11,K63='Tabla Impacto'!$D$11),"Leve",IF(OR(K63='Tabla Impacto'!$C$12,K63='Tabla Impacto'!$D$12),"Menor",IF(OR(K63='Tabla Impacto'!$C$13,K63='Tabla Impacto'!$D$13),"Moderado",IF(OR(K63='Tabla Impacto'!$C$14,K63='Tabla Impacto'!$D$14),"Mayor",IF(OR(K63='Tabla Impacto'!$C$15,K63='Tabla Impacto'!$D$15),"Catastrófico","")))))</f>
        <v>Moderado</v>
      </c>
      <c r="M63" s="137">
        <f t="shared" ref="M63" ca="1" si="87">IF(L63="","",IF(L63="Leve",0.2,IF(L63="Menor",0.4,IF(L63="Moderado",0.6,IF(L63="Mayor",0.8,IF(L63="Catastrófico",1,))))))</f>
        <v>0.6</v>
      </c>
      <c r="N63" s="154" t="str">
        <f t="shared" ref="N63" ca="1" si="88">IF(OR(AND(H63="Muy Baja",L63="Leve"),AND(H63="Muy Baja",L63="Menor"),AND(H63="Baja",L63="Leve")),"Bajo",IF(OR(AND(H63="Muy baja",L63="Moderado"),AND(H63="Baja",L63="Menor"),AND(H63="Baja",L63="Moderado"),AND(H63="Media",L63="Leve"),AND(H63="Media",L63="Menor"),AND(H63="Media",L63="Moderado"),AND(H63="Alta",L63="Leve"),AND(H63="Alta",L63="Menor")),"Moderado",IF(OR(AND(H63="Muy Baja",L63="Mayor"),AND(H63="Baja",L63="Mayor"),AND(H63="Media",L63="Mayor"),AND(H63="Alta",L63="Moderado"),AND(H63="Alta",L63="Mayor"),AND(H63="Muy Alta",L63="Leve"),AND(H63="Muy Alta",L63="Menor"),AND(H63="Muy Alta",L63="Moderado"),AND(H63="Muy Alta",L63="Mayor")),"Alto",IF(OR(AND(H63="Muy Baja",L63="Catastrófico"),AND(H63="Baja",L63="Catastrófico"),AND(H63="Media",L63="Catastrófico"),AND(H63="Alta",L63="Catastrófico"),AND(H63="Muy Alta",L63="Catastrófico")),"Extremo",""))))</f>
        <v>Moderado</v>
      </c>
      <c r="O63" s="136">
        <v>1</v>
      </c>
      <c r="P63" s="97" t="s">
        <v>358</v>
      </c>
      <c r="Q63" s="148" t="str">
        <f t="shared" si="77"/>
        <v>Probabilidad</v>
      </c>
      <c r="R63" s="144" t="s">
        <v>152</v>
      </c>
      <c r="S63" s="144" t="s">
        <v>160</v>
      </c>
      <c r="T63" s="145" t="str">
        <f t="shared" si="78"/>
        <v>40%</v>
      </c>
      <c r="U63" s="144" t="s">
        <v>163</v>
      </c>
      <c r="V63" s="144" t="s">
        <v>168</v>
      </c>
      <c r="W63" s="144" t="s">
        <v>172</v>
      </c>
      <c r="X63" s="146">
        <f t="shared" si="79"/>
        <v>0.24</v>
      </c>
      <c r="Y63" s="142" t="str">
        <f t="shared" si="80"/>
        <v>Baja</v>
      </c>
      <c r="Z63" s="145">
        <f t="shared" si="81"/>
        <v>0.24</v>
      </c>
      <c r="AA63" s="142" t="str">
        <f t="shared" ca="1" si="82"/>
        <v>Moderado</v>
      </c>
      <c r="AB63" s="145">
        <f t="shared" ca="1" si="83"/>
        <v>0.6</v>
      </c>
      <c r="AC63" s="147" t="str">
        <f t="shared" ca="1" si="84"/>
        <v>Moderado</v>
      </c>
      <c r="AD63" s="144" t="s">
        <v>179</v>
      </c>
      <c r="AE63" s="152" t="s">
        <v>397</v>
      </c>
      <c r="AF63" s="151" t="s">
        <v>447</v>
      </c>
      <c r="AG63" s="164">
        <v>46055</v>
      </c>
      <c r="AH63" s="164">
        <v>46374</v>
      </c>
      <c r="AI63" s="164"/>
      <c r="AJ63" s="164"/>
      <c r="AK63" s="164"/>
      <c r="AL63" s="164"/>
      <c r="AM63" s="164"/>
      <c r="AN63" s="164"/>
      <c r="AO63" s="164"/>
      <c r="AP63" s="164"/>
      <c r="AQ63" s="151"/>
      <c r="AR63" s="151"/>
    </row>
    <row r="64" spans="1:44" s="89" customFormat="1" ht="117" customHeight="1" x14ac:dyDescent="0.2">
      <c r="A64" s="241">
        <v>32</v>
      </c>
      <c r="B64" s="242" t="s">
        <v>304</v>
      </c>
      <c r="C64" s="243" t="s">
        <v>180</v>
      </c>
      <c r="D64" s="243" t="s">
        <v>307</v>
      </c>
      <c r="E64" s="244" t="s">
        <v>305</v>
      </c>
      <c r="F64" s="243" t="s">
        <v>370</v>
      </c>
      <c r="G64" s="245">
        <v>5000</v>
      </c>
      <c r="H64" s="233" t="str">
        <f t="shared" ref="H64" si="89">IF(G64&lt;=0,"",IF(G64&lt;=2,"Muy Baja",IF(G64&lt;=24,"Baja",IF(G64&lt;=500,"Media",IF(G64&lt;=5000,"Alta","Muy Alta")))))</f>
        <v>Alta</v>
      </c>
      <c r="I64" s="234">
        <f t="shared" ref="I64" si="90">IF(H64="","",IF(H64="Muy Baja",0.2,IF(H64="Baja",0.4,IF(H64="Media",0.6,IF(H64="Alta",0.8,IF(H64="Muy Alta",1,))))))</f>
        <v>0.8</v>
      </c>
      <c r="J64" s="236" t="s">
        <v>133</v>
      </c>
      <c r="K64" s="234" t="str">
        <f ca="1">IF(NOT(ISERROR(MATCH(J64,'Tabla Impacto'!$B$221:$B$223,0))),'Tabla Impacto'!$F$223&amp;"Por favor no seleccionar los criterios de impacto(Afectación Económica o presupuestal y Pérdida Reputacional)",J64)</f>
        <v xml:space="preserve">     Entre 10 y 50 SMLMV </v>
      </c>
      <c r="L64" s="233" t="str">
        <f ca="1">IF(OR(K64='Tabla Impacto'!$C$11,K64='Tabla Impacto'!$D$11),"Leve",IF(OR(K64='Tabla Impacto'!$C$12,K64='Tabla Impacto'!$D$12),"Menor",IF(OR(K64='Tabla Impacto'!$C$13,K64='Tabla Impacto'!$D$13),"Moderado",IF(OR(K64='Tabla Impacto'!$C$14,K64='Tabla Impacto'!$D$14),"Mayor",IF(OR(K64='Tabla Impacto'!$C$15,K64='Tabla Impacto'!$D$15),"Catastrófico","")))))</f>
        <v>Menor</v>
      </c>
      <c r="M64" s="234">
        <f t="shared" ref="M64" ca="1" si="91">IF(L64="","",IF(L64="Leve",0.2,IF(L64="Menor",0.4,IF(L64="Moderado",0.6,IF(L64="Mayor",0.8,IF(L64="Catastrófico",1,))))))</f>
        <v>0.4</v>
      </c>
      <c r="N64" s="235" t="str">
        <f t="shared" ref="N64" ca="1" si="92">IF(OR(AND(H64="Muy Baja",L64="Leve"),AND(H64="Muy Baja",L64="Menor"),AND(H64="Baja",L64="Leve")),"Bajo",IF(OR(AND(H64="Muy baja",L64="Moderado"),AND(H64="Baja",L64="Menor"),AND(H64="Baja",L64="Moderado"),AND(H64="Media",L64="Leve"),AND(H64="Media",L64="Menor"),AND(H64="Media",L64="Moderado"),AND(H64="Alta",L64="Leve"),AND(H64="Alta",L64="Menor")),"Moderado",IF(OR(AND(H64="Muy Baja",L64="Mayor"),AND(H64="Baja",L64="Mayor"),AND(H64="Media",L64="Mayor"),AND(H64="Alta",L64="Moderado"),AND(H64="Alta",L64="Mayor"),AND(H64="Muy Alta",L64="Leve"),AND(H64="Muy Alta",L64="Menor"),AND(H64="Muy Alta",L64="Moderado"),AND(H64="Muy Alta",L64="Mayor")),"Alto",IF(OR(AND(H64="Muy Baja",L64="Catastrófico"),AND(H64="Baja",L64="Catastrófico"),AND(H64="Media",L64="Catastrófico"),AND(H64="Alta",L64="Catastrófico"),AND(H64="Muy Alta",L64="Catastrófico")),"Extremo",""))))</f>
        <v>Moderado</v>
      </c>
      <c r="O64" s="136">
        <v>1</v>
      </c>
      <c r="P64" s="97" t="s">
        <v>309</v>
      </c>
      <c r="Q64" s="148" t="str">
        <f t="shared" si="77"/>
        <v>Probabilidad</v>
      </c>
      <c r="R64" s="144" t="s">
        <v>152</v>
      </c>
      <c r="S64" s="144" t="s">
        <v>160</v>
      </c>
      <c r="T64" s="145" t="str">
        <f t="shared" si="78"/>
        <v>40%</v>
      </c>
      <c r="U64" s="144" t="s">
        <v>163</v>
      </c>
      <c r="V64" s="144" t="s">
        <v>168</v>
      </c>
      <c r="W64" s="144" t="s">
        <v>172</v>
      </c>
      <c r="X64" s="146">
        <f t="shared" si="79"/>
        <v>0.48</v>
      </c>
      <c r="Y64" s="142" t="str">
        <f t="shared" si="80"/>
        <v>Media</v>
      </c>
      <c r="Z64" s="145">
        <f t="shared" si="81"/>
        <v>0.48</v>
      </c>
      <c r="AA64" s="142" t="str">
        <f t="shared" ca="1" si="82"/>
        <v>Menor</v>
      </c>
      <c r="AB64" s="145">
        <f t="shared" ca="1" si="83"/>
        <v>0.4</v>
      </c>
      <c r="AC64" s="147" t="str">
        <f t="shared" ca="1" si="84"/>
        <v>Moderado</v>
      </c>
      <c r="AD64" s="144" t="s">
        <v>179</v>
      </c>
      <c r="AE64" s="152" t="s">
        <v>312</v>
      </c>
      <c r="AF64" s="165" t="s">
        <v>448</v>
      </c>
      <c r="AG64" s="164">
        <v>46055</v>
      </c>
      <c r="AH64" s="164">
        <v>46374</v>
      </c>
      <c r="AI64" s="164"/>
      <c r="AJ64" s="164"/>
      <c r="AK64" s="175"/>
      <c r="AL64" s="164"/>
      <c r="AM64" s="164"/>
      <c r="AN64" s="164"/>
      <c r="AO64" s="164"/>
      <c r="AP64" s="164"/>
      <c r="AQ64" s="151"/>
      <c r="AR64" s="151"/>
    </row>
    <row r="65" spans="1:44" s="89" customFormat="1" ht="183" customHeight="1" x14ac:dyDescent="0.25">
      <c r="A65" s="241"/>
      <c r="B65" s="242"/>
      <c r="C65" s="243"/>
      <c r="D65" s="243"/>
      <c r="E65" s="244"/>
      <c r="F65" s="243"/>
      <c r="G65" s="245"/>
      <c r="H65" s="233"/>
      <c r="I65" s="234"/>
      <c r="J65" s="236"/>
      <c r="K65" s="234">
        <f ca="1">IF(NOT(ISERROR(MATCH(J65,_xlfn.ANCHORARRAY(E68),0))),#REF!&amp;"Por favor no seleccionar los criterios de impacto",J65)</f>
        <v>0</v>
      </c>
      <c r="L65" s="233"/>
      <c r="M65" s="234"/>
      <c r="N65" s="235"/>
      <c r="O65" s="136">
        <v>2</v>
      </c>
      <c r="P65" s="97" t="s">
        <v>310</v>
      </c>
      <c r="Q65" s="148" t="str">
        <f t="shared" si="77"/>
        <v>Probabilidad</v>
      </c>
      <c r="R65" s="144" t="s">
        <v>152</v>
      </c>
      <c r="S65" s="144" t="s">
        <v>160</v>
      </c>
      <c r="T65" s="145" t="str">
        <f t="shared" si="78"/>
        <v>40%</v>
      </c>
      <c r="U65" s="144" t="s">
        <v>163</v>
      </c>
      <c r="V65" s="144" t="s">
        <v>168</v>
      </c>
      <c r="W65" s="144" t="s">
        <v>172</v>
      </c>
      <c r="X65" s="146">
        <f t="shared" si="79"/>
        <v>0</v>
      </c>
      <c r="Y65" s="142" t="str">
        <f t="shared" si="80"/>
        <v>Muy Baja</v>
      </c>
      <c r="Z65" s="145">
        <f t="shared" si="81"/>
        <v>0</v>
      </c>
      <c r="AA65" s="142" t="str">
        <f t="shared" si="82"/>
        <v>Leve</v>
      </c>
      <c r="AB65" s="145">
        <f t="shared" si="83"/>
        <v>0</v>
      </c>
      <c r="AC65" s="147" t="str">
        <f t="shared" si="84"/>
        <v>Bajo</v>
      </c>
      <c r="AD65" s="144" t="s">
        <v>179</v>
      </c>
      <c r="AE65" s="152" t="s">
        <v>311</v>
      </c>
      <c r="AF65" s="165" t="s">
        <v>448</v>
      </c>
      <c r="AG65" s="164">
        <v>46055</v>
      </c>
      <c r="AH65" s="164">
        <v>46374</v>
      </c>
      <c r="AI65" s="164"/>
      <c r="AJ65" s="164"/>
      <c r="AK65" s="164"/>
      <c r="AL65" s="164"/>
      <c r="AM65" s="164"/>
      <c r="AN65" s="164"/>
      <c r="AO65" s="164"/>
      <c r="AP65" s="164"/>
      <c r="AQ65" s="151"/>
      <c r="AR65" s="151"/>
    </row>
    <row r="66" spans="1:44" s="89" customFormat="1" ht="197.25" customHeight="1" x14ac:dyDescent="0.25">
      <c r="A66" s="241">
        <v>33</v>
      </c>
      <c r="B66" s="242" t="s">
        <v>304</v>
      </c>
      <c r="C66" s="243" t="s">
        <v>180</v>
      </c>
      <c r="D66" s="243" t="s">
        <v>308</v>
      </c>
      <c r="E66" s="244" t="s">
        <v>306</v>
      </c>
      <c r="F66" s="243" t="s">
        <v>370</v>
      </c>
      <c r="G66" s="245">
        <v>5000</v>
      </c>
      <c r="H66" s="233" t="str">
        <f t="shared" ref="H66" si="93">IF(G66&lt;=0,"",IF(G66&lt;=2,"Muy Baja",IF(G66&lt;=24,"Baja",IF(G66&lt;=500,"Media",IF(G66&lt;=5000,"Alta","Muy Alta")))))</f>
        <v>Alta</v>
      </c>
      <c r="I66" s="234">
        <f t="shared" ref="I66" si="94">IF(H66="","",IF(H66="Muy Baja",0.2,IF(H66="Baja",0.4,IF(H66="Media",0.6,IF(H66="Alta",0.8,IF(H66="Muy Alta",1,))))))</f>
        <v>0.8</v>
      </c>
      <c r="J66" s="236" t="s">
        <v>133</v>
      </c>
      <c r="K66" s="234" t="str">
        <f ca="1">IF(NOT(ISERROR(MATCH(J66,'Tabla Impacto'!$B$221:$B$223,0))),'Tabla Impacto'!$F$223&amp;"Por favor no seleccionar los criterios de impacto(Afectación Económica o presupuestal y Pérdida Reputacional)",J66)</f>
        <v xml:space="preserve">     Entre 10 y 50 SMLMV </v>
      </c>
      <c r="L66" s="233" t="str">
        <f ca="1">IF(OR(K66='Tabla Impacto'!$C$11,K66='Tabla Impacto'!$D$11),"Leve",IF(OR(K66='Tabla Impacto'!$C$12,K66='Tabla Impacto'!$D$12),"Menor",IF(OR(K66='Tabla Impacto'!$C$13,K66='Tabla Impacto'!$D$13),"Moderado",IF(OR(K66='Tabla Impacto'!$C$14,K66='Tabla Impacto'!$D$14),"Mayor",IF(OR(K66='Tabla Impacto'!$C$15,K66='Tabla Impacto'!$D$15),"Catastrófico","")))))</f>
        <v>Menor</v>
      </c>
      <c r="M66" s="234">
        <f t="shared" ref="M66" ca="1" si="95">IF(L66="","",IF(L66="Leve",0.2,IF(L66="Menor",0.4,IF(L66="Moderado",0.6,IF(L66="Mayor",0.8,IF(L66="Catastrófico",1,))))))</f>
        <v>0.4</v>
      </c>
      <c r="N66" s="235" t="str">
        <f t="shared" ref="N66" ca="1" si="96">IF(OR(AND(H66="Muy Baja",L66="Leve"),AND(H66="Muy Baja",L66="Menor"),AND(H66="Baja",L66="Leve")),"Bajo",IF(OR(AND(H66="Muy baja",L66="Moderado"),AND(H66="Baja",L66="Menor"),AND(H66="Baja",L66="Moderado"),AND(H66="Media",L66="Leve"),AND(H66="Media",L66="Menor"),AND(H66="Media",L66="Moderado"),AND(H66="Alta",L66="Leve"),AND(H66="Alta",L66="Menor")),"Moderado",IF(OR(AND(H66="Muy Baja",L66="Mayor"),AND(H66="Baja",L66="Mayor"),AND(H66="Media",L66="Mayor"),AND(H66="Alta",L66="Moderado"),AND(H66="Alta",L66="Mayor"),AND(H66="Muy Alta",L66="Leve"),AND(H66="Muy Alta",L66="Menor"),AND(H66="Muy Alta",L66="Moderado"),AND(H66="Muy Alta",L66="Mayor")),"Alto",IF(OR(AND(H66="Muy Baja",L66="Catastrófico"),AND(H66="Baja",L66="Catastrófico"),AND(H66="Media",L66="Catastrófico"),AND(H66="Alta",L66="Catastrófico"),AND(H66="Muy Alta",L66="Catastrófico")),"Extremo",""))))</f>
        <v>Moderado</v>
      </c>
      <c r="O66" s="136">
        <v>1</v>
      </c>
      <c r="P66" s="97" t="s">
        <v>313</v>
      </c>
      <c r="Q66" s="148" t="str">
        <f>IF(OR(R66="Preventivo",R66="Detectivo"),"Probabilidad",IF(R66="Correctivo","Impacto",""))</f>
        <v>Probabilidad</v>
      </c>
      <c r="R66" s="144" t="s">
        <v>152</v>
      </c>
      <c r="S66" s="144" t="s">
        <v>160</v>
      </c>
      <c r="T66" s="145" t="str">
        <f>IF(AND(R66="Preventivo",S66="Automático"),"50%",IF(AND(R66="Preventivo",S66="Manual"),"40%",IF(AND(R66="Detectivo",S66="Automático"),"40%",IF(AND(R66="Detectivo",S66="Manual"),"30%",IF(AND(R66="Correctivo",S66="Automático"),"35%",IF(AND(R66="Correctivo",S66="Manual"),"25%",""))))))</f>
        <v>40%</v>
      </c>
      <c r="U66" s="144" t="s">
        <v>163</v>
      </c>
      <c r="V66" s="144" t="s">
        <v>168</v>
      </c>
      <c r="W66" s="144" t="s">
        <v>172</v>
      </c>
      <c r="X66" s="146">
        <f>IFERROR(IF(Q66="Probabilidad",(I66-(+I66*T66)),IF(Q66="Impacto",I66,"")),"")</f>
        <v>0.48</v>
      </c>
      <c r="Y66" s="142" t="str">
        <f>IFERROR(IF(X66="","",IF(X66&lt;=0.2,"Muy Baja",IF(X66&lt;=0.4,"Baja",IF(X66&lt;=0.6,"Media",IF(X66&lt;=0.8,"Alta","Muy Alta"))))),"")</f>
        <v>Media</v>
      </c>
      <c r="Z66" s="145">
        <f>+X66</f>
        <v>0.48</v>
      </c>
      <c r="AA66" s="142" t="str">
        <f ca="1">IFERROR(IF(AB66="","",IF(AB66&lt;=0.2,"Leve",IF(AB66&lt;=0.4,"Menor",IF(AB66&lt;=0.6,"Moderado",IF(AB66&lt;=0.8,"Mayor","Catastrófico"))))),"")</f>
        <v>Menor</v>
      </c>
      <c r="AB66" s="145">
        <f ca="1">IFERROR(IF(Q66="Impacto",(M66-(+M66*T66)),IF(Q66="Probabilidad",M66,"")),"")</f>
        <v>0.4</v>
      </c>
      <c r="AC66" s="147" t="str">
        <f ca="1">IFERROR(IF(OR(AND(Y66="Muy Baja",AA66="Leve"),AND(Y66="Muy Baja",AA66="Menor"),AND(Y66="Baja",AA66="Leve")),"Bajo",IF(OR(AND(Y66="Muy baja",AA66="Moderado"),AND(Y66="Baja",AA66="Menor"),AND(Y66="Baja",AA66="Moderado"),AND(Y66="Media",AA66="Leve"),AND(Y66="Media",AA66="Menor"),AND(Y66="Media",AA66="Moderado"),AND(Y66="Alta",AA66="Leve"),AND(Y66="Alta",AA66="Menor")),"Moderado",IF(OR(AND(Y66="Muy Baja",AA66="Mayor"),AND(Y66="Baja",AA66="Mayor"),AND(Y66="Media",AA66="Mayor"),AND(Y66="Alta",AA66="Moderado"),AND(Y66="Alta",AA66="Mayor"),AND(Y66="Muy Alta",AA66="Leve"),AND(Y66="Muy Alta",AA66="Menor"),AND(Y66="Muy Alta",AA66="Moderado"),AND(Y66="Muy Alta",AA66="Mayor")),"Alto",IF(OR(AND(Y66="Muy Baja",AA66="Catastrófico"),AND(Y66="Baja",AA66="Catastrófico"),AND(Y66="Media",AA66="Catastrófico"),AND(Y66="Alta",AA66="Catastrófico"),AND(Y66="Muy Alta",AA66="Catastrófico")),"Extremo","")))),"")</f>
        <v>Moderado</v>
      </c>
      <c r="AD66" s="144" t="s">
        <v>179</v>
      </c>
      <c r="AE66" s="152" t="s">
        <v>316</v>
      </c>
      <c r="AF66" s="165" t="s">
        <v>448</v>
      </c>
      <c r="AG66" s="164">
        <v>46055</v>
      </c>
      <c r="AH66" s="164">
        <v>46374</v>
      </c>
      <c r="AI66" s="164"/>
      <c r="AJ66" s="164"/>
      <c r="AK66" s="164"/>
      <c r="AL66" s="164"/>
      <c r="AM66" s="164"/>
      <c r="AN66" s="164"/>
      <c r="AO66" s="164"/>
      <c r="AP66" s="164"/>
      <c r="AQ66" s="151"/>
      <c r="AR66" s="151"/>
    </row>
    <row r="67" spans="1:44" s="89" customFormat="1" ht="195.75" customHeight="1" x14ac:dyDescent="0.25">
      <c r="A67" s="241"/>
      <c r="B67" s="242"/>
      <c r="C67" s="243"/>
      <c r="D67" s="243"/>
      <c r="E67" s="244"/>
      <c r="F67" s="243"/>
      <c r="G67" s="245"/>
      <c r="H67" s="233"/>
      <c r="I67" s="234"/>
      <c r="J67" s="236"/>
      <c r="K67" s="234">
        <f ca="1">IF(NOT(ISERROR(MATCH(J67,_xlfn.ANCHORARRAY(E70),0))),#REF!&amp;"Por favor no seleccionar los criterios de impacto",J67)</f>
        <v>0</v>
      </c>
      <c r="L67" s="233"/>
      <c r="M67" s="234"/>
      <c r="N67" s="235"/>
      <c r="O67" s="136">
        <v>2</v>
      </c>
      <c r="P67" s="97" t="s">
        <v>314</v>
      </c>
      <c r="Q67" s="148" t="str">
        <f>IF(OR(R67="Preventivo",R67="Detectivo"),"Probabilidad",IF(R67="Correctivo","Impacto",""))</f>
        <v>Probabilidad</v>
      </c>
      <c r="R67" s="144" t="s">
        <v>152</v>
      </c>
      <c r="S67" s="144" t="s">
        <v>160</v>
      </c>
      <c r="T67" s="145" t="str">
        <f>IF(AND(R67="Preventivo",S67="Automático"),"50%",IF(AND(R67="Preventivo",S67="Manual"),"40%",IF(AND(R67="Detectivo",S67="Automático"),"40%",IF(AND(R67="Detectivo",S67="Manual"),"30%",IF(AND(R67="Correctivo",S67="Automático"),"35%",IF(AND(R67="Correctivo",S67="Manual"),"25%",""))))))</f>
        <v>40%</v>
      </c>
      <c r="U67" s="144" t="s">
        <v>163</v>
      </c>
      <c r="V67" s="144" t="s">
        <v>168</v>
      </c>
      <c r="W67" s="144" t="s">
        <v>172</v>
      </c>
      <c r="X67" s="146">
        <f>IFERROR(IF(Q67="Probabilidad",(I67-(+I67*T67)),IF(Q67="Impacto",I67,"")),"")</f>
        <v>0</v>
      </c>
      <c r="Y67" s="142" t="str">
        <f>IFERROR(IF(X67="","",IF(X67&lt;=0.2,"Muy Baja",IF(X67&lt;=0.4,"Baja",IF(X67&lt;=0.6,"Media",IF(X67&lt;=0.8,"Alta","Muy Alta"))))),"")</f>
        <v>Muy Baja</v>
      </c>
      <c r="Z67" s="145">
        <f>+X67</f>
        <v>0</v>
      </c>
      <c r="AA67" s="142" t="str">
        <f>IFERROR(IF(AB67="","",IF(AB67&lt;=0.2,"Leve",IF(AB67&lt;=0.4,"Menor",IF(AB67&lt;=0.6,"Moderado",IF(AB67&lt;=0.8,"Mayor","Catastrófico"))))),"")</f>
        <v>Leve</v>
      </c>
      <c r="AB67" s="145">
        <f>IFERROR(IF(Q67="Impacto",(M67-(+M67*T67)),IF(Q67="Probabilidad",M67,"")),"")</f>
        <v>0</v>
      </c>
      <c r="AC67" s="147" t="str">
        <f>IFERROR(IF(OR(AND(Y67="Muy Baja",AA67="Leve"),AND(Y67="Muy Baja",AA67="Menor"),AND(Y67="Baja",AA67="Leve")),"Bajo",IF(OR(AND(Y67="Muy baja",AA67="Moderado"),AND(Y67="Baja",AA67="Menor"),AND(Y67="Baja",AA67="Moderado"),AND(Y67="Media",AA67="Leve"),AND(Y67="Media",AA67="Menor"),AND(Y67="Media",AA67="Moderado"),AND(Y67="Alta",AA67="Leve"),AND(Y67="Alta",AA67="Menor")),"Moderado",IF(OR(AND(Y67="Muy Baja",AA67="Mayor"),AND(Y67="Baja",AA67="Mayor"),AND(Y67="Media",AA67="Mayor"),AND(Y67="Alta",AA67="Moderado"),AND(Y67="Alta",AA67="Mayor"),AND(Y67="Muy Alta",AA67="Leve"),AND(Y67="Muy Alta",AA67="Menor"),AND(Y67="Muy Alta",AA67="Moderado"),AND(Y67="Muy Alta",AA67="Mayor")),"Alto",IF(OR(AND(Y67="Muy Baja",AA67="Catastrófico"),AND(Y67="Baja",AA67="Catastrófico"),AND(Y67="Media",AA67="Catastrófico"),AND(Y67="Alta",AA67="Catastrófico"),AND(Y67="Muy Alta",AA67="Catastrófico")),"Extremo","")))),"")</f>
        <v>Bajo</v>
      </c>
      <c r="AD67" s="144" t="s">
        <v>179</v>
      </c>
      <c r="AE67" s="152" t="s">
        <v>315</v>
      </c>
      <c r="AF67" s="165" t="s">
        <v>448</v>
      </c>
      <c r="AG67" s="164">
        <v>46055</v>
      </c>
      <c r="AH67" s="164">
        <v>46374</v>
      </c>
      <c r="AI67" s="164"/>
      <c r="AJ67" s="164"/>
      <c r="AK67" s="164"/>
      <c r="AL67" s="164"/>
      <c r="AM67" s="164"/>
      <c r="AN67" s="164"/>
      <c r="AO67" s="164"/>
      <c r="AP67" s="164"/>
      <c r="AQ67" s="151"/>
      <c r="AR67" s="151"/>
    </row>
    <row r="68" spans="1:44" s="89" customFormat="1" ht="102" customHeight="1" x14ac:dyDescent="0.25">
      <c r="A68" s="241">
        <v>34</v>
      </c>
      <c r="B68" s="242" t="s">
        <v>317</v>
      </c>
      <c r="C68" s="243" t="s">
        <v>180</v>
      </c>
      <c r="D68" s="243" t="s">
        <v>321</v>
      </c>
      <c r="E68" s="244" t="s">
        <v>318</v>
      </c>
      <c r="F68" s="243" t="s">
        <v>370</v>
      </c>
      <c r="G68" s="245">
        <v>5000</v>
      </c>
      <c r="H68" s="233" t="str">
        <f t="shared" ref="H68" si="97">IF(G68&lt;=0,"",IF(G68&lt;=2,"Muy Baja",IF(G68&lt;=24,"Baja",IF(G68&lt;=500,"Media",IF(G68&lt;=5000,"Alta","Muy Alta")))))</f>
        <v>Alta</v>
      </c>
      <c r="I68" s="234">
        <f t="shared" ref="I68" si="98">IF(H68="","",IF(H68="Muy Baja",0.2,IF(H68="Baja",0.4,IF(H68="Media",0.6,IF(H68="Alta",0.8,IF(H68="Muy Alta",1,))))))</f>
        <v>0.8</v>
      </c>
      <c r="J68" s="236" t="s">
        <v>133</v>
      </c>
      <c r="K68" s="234" t="str">
        <f ca="1">IF(NOT(ISERROR(MATCH(J68,'Tabla Impacto'!$B$221:$B$223,0))),'Tabla Impacto'!$F$223&amp;"Por favor no seleccionar los criterios de impacto(Afectación Económica o presupuestal y Pérdida Reputacional)",J68)</f>
        <v xml:space="preserve">     Entre 10 y 50 SMLMV </v>
      </c>
      <c r="L68" s="233" t="str">
        <f ca="1">IF(OR(K68='Tabla Impacto'!$C$11,K68='Tabla Impacto'!$D$11),"Leve",IF(OR(K68='Tabla Impacto'!$C$12,K68='Tabla Impacto'!$D$12),"Menor",IF(OR(K68='Tabla Impacto'!$C$13,K68='Tabla Impacto'!$D$13),"Moderado",IF(OR(K68='Tabla Impacto'!$C$14,K68='Tabla Impacto'!$D$14),"Mayor",IF(OR(K68='Tabla Impacto'!$C$15,K68='Tabla Impacto'!$D$15),"Catastrófico","")))))</f>
        <v>Menor</v>
      </c>
      <c r="M68" s="234">
        <f t="shared" ref="M68" ca="1" si="99">IF(L68="","",IF(L68="Leve",0.2,IF(L68="Menor",0.4,IF(L68="Moderado",0.6,IF(L68="Mayor",0.8,IF(L68="Catastrófico",1,))))))</f>
        <v>0.4</v>
      </c>
      <c r="N68" s="235" t="str">
        <f t="shared" ref="N68" ca="1" si="100">IF(OR(AND(H68="Muy Baja",L68="Leve"),AND(H68="Muy Baja",L68="Menor"),AND(H68="Baja",L68="Leve")),"Bajo",IF(OR(AND(H68="Muy baja",L68="Moderado"),AND(H68="Baja",L68="Menor"),AND(H68="Baja",L68="Moderado"),AND(H68="Media",L68="Leve"),AND(H68="Media",L68="Menor"),AND(H68="Media",L68="Moderado"),AND(H68="Alta",L68="Leve"),AND(H68="Alta",L68="Menor")),"Moderado",IF(OR(AND(H68="Muy Baja",L68="Mayor"),AND(H68="Baja",L68="Mayor"),AND(H68="Media",L68="Mayor"),AND(H68="Alta",L68="Moderado"),AND(H68="Alta",L68="Mayor"),AND(H68="Muy Alta",L68="Leve"),AND(H68="Muy Alta",L68="Menor"),AND(H68="Muy Alta",L68="Moderado"),AND(H68="Muy Alta",L68="Mayor")),"Alto",IF(OR(AND(H68="Muy Baja",L68="Catastrófico"),AND(H68="Baja",L68="Catastrófico"),AND(H68="Media",L68="Catastrófico"),AND(H68="Alta",L68="Catastrófico"),AND(H68="Muy Alta",L68="Catastrófico")),"Extremo",""))))</f>
        <v>Moderado</v>
      </c>
      <c r="O68" s="136">
        <v>1</v>
      </c>
      <c r="P68" s="97" t="s">
        <v>324</v>
      </c>
      <c r="Q68" s="148" t="str">
        <f>IF(OR(R68="Preventivo",R68="Detectivo"),"Probabilidad",IF(R68="Correctivo","Impacto",""))</f>
        <v>Probabilidad</v>
      </c>
      <c r="R68" s="144" t="s">
        <v>152</v>
      </c>
      <c r="S68" s="144" t="s">
        <v>160</v>
      </c>
      <c r="T68" s="145" t="str">
        <f>IF(AND(R68="Preventivo",S68="Automático"),"50%",IF(AND(R68="Preventivo",S68="Manual"),"40%",IF(AND(R68="Detectivo",S68="Automático"),"40%",IF(AND(R68="Detectivo",S68="Manual"),"30%",IF(AND(R68="Correctivo",S68="Automático"),"35%",IF(AND(R68="Correctivo",S68="Manual"),"25%",""))))))</f>
        <v>40%</v>
      </c>
      <c r="U68" s="144" t="s">
        <v>163</v>
      </c>
      <c r="V68" s="144" t="s">
        <v>168</v>
      </c>
      <c r="W68" s="144" t="s">
        <v>172</v>
      </c>
      <c r="X68" s="146">
        <f>IFERROR(IF(Q68="Probabilidad",(I68-(+I68*T68)),IF(Q68="Impacto",I68,"")),"")</f>
        <v>0.48</v>
      </c>
      <c r="Y68" s="142" t="str">
        <f>IFERROR(IF(X68="","",IF(X68&lt;=0.2,"Muy Baja",IF(X68&lt;=0.4,"Baja",IF(X68&lt;=0.6,"Media",IF(X68&lt;=0.8,"Alta","Muy Alta"))))),"")</f>
        <v>Media</v>
      </c>
      <c r="Z68" s="145">
        <f>+X68</f>
        <v>0.48</v>
      </c>
      <c r="AA68" s="142" t="str">
        <f ca="1">IFERROR(IF(AB68="","",IF(AB68&lt;=0.2,"Leve",IF(AB68&lt;=0.4,"Menor",IF(AB68&lt;=0.6,"Moderado",IF(AB68&lt;=0.8,"Mayor","Catastrófico"))))),"")</f>
        <v>Menor</v>
      </c>
      <c r="AB68" s="145">
        <f ca="1">IFERROR(IF(Q68="Impacto",(M68-(+M68*T68)),IF(Q68="Probabilidad",M68,"")),"")</f>
        <v>0.4</v>
      </c>
      <c r="AC68" s="147" t="str">
        <f ca="1">IFERROR(IF(OR(AND(Y68="Muy Baja",AA68="Leve"),AND(Y68="Muy Baja",AA68="Menor"),AND(Y68="Baja",AA68="Leve")),"Bajo",IF(OR(AND(Y68="Muy baja",AA68="Moderado"),AND(Y68="Baja",AA68="Menor"),AND(Y68="Baja",AA68="Moderado"),AND(Y68="Media",AA68="Leve"),AND(Y68="Media",AA68="Menor"),AND(Y68="Media",AA68="Moderado"),AND(Y68="Alta",AA68="Leve"),AND(Y68="Alta",AA68="Menor")),"Moderado",IF(OR(AND(Y68="Muy Baja",AA68="Mayor"),AND(Y68="Baja",AA68="Mayor"),AND(Y68="Media",AA68="Mayor"),AND(Y68="Alta",AA68="Moderado"),AND(Y68="Alta",AA68="Mayor"),AND(Y68="Muy Alta",AA68="Leve"),AND(Y68="Muy Alta",AA68="Menor"),AND(Y68="Muy Alta",AA68="Moderado"),AND(Y68="Muy Alta",AA68="Mayor")),"Alto",IF(OR(AND(Y68="Muy Baja",AA68="Catastrófico"),AND(Y68="Baja",AA68="Catastrófico"),AND(Y68="Media",AA68="Catastrófico"),AND(Y68="Alta",AA68="Catastrófico"),AND(Y68="Muy Alta",AA68="Catastrófico")),"Extremo","")))),"")</f>
        <v>Moderado</v>
      </c>
      <c r="AD68" s="144" t="s">
        <v>179</v>
      </c>
      <c r="AE68" s="152" t="s">
        <v>334</v>
      </c>
      <c r="AF68" s="151" t="s">
        <v>449</v>
      </c>
      <c r="AG68" s="164">
        <v>46055</v>
      </c>
      <c r="AH68" s="164">
        <v>46374</v>
      </c>
      <c r="AI68" s="164"/>
      <c r="AJ68" s="164"/>
      <c r="AK68" s="164"/>
      <c r="AL68" s="164"/>
      <c r="AM68" s="164"/>
      <c r="AN68" s="164"/>
      <c r="AO68" s="164"/>
      <c r="AP68" s="164"/>
      <c r="AQ68" s="151"/>
      <c r="AR68" s="151"/>
    </row>
    <row r="69" spans="1:44" s="89" customFormat="1" ht="94.5" customHeight="1" x14ac:dyDescent="0.25">
      <c r="A69" s="241"/>
      <c r="B69" s="242"/>
      <c r="C69" s="243"/>
      <c r="D69" s="243"/>
      <c r="E69" s="244"/>
      <c r="F69" s="243"/>
      <c r="G69" s="245"/>
      <c r="H69" s="233"/>
      <c r="I69" s="234"/>
      <c r="J69" s="236"/>
      <c r="K69" s="234">
        <f ca="1">IF(NOT(ISERROR(MATCH(J69,_xlfn.ANCHORARRAY(E72),0))),I74&amp;"Por favor no seleccionar los criterios de impacto",J69)</f>
        <v>0</v>
      </c>
      <c r="L69" s="233"/>
      <c r="M69" s="234"/>
      <c r="N69" s="235"/>
      <c r="O69" s="136">
        <v>2</v>
      </c>
      <c r="P69" s="97" t="s">
        <v>398</v>
      </c>
      <c r="Q69" s="148"/>
      <c r="R69" s="144"/>
      <c r="S69" s="144"/>
      <c r="T69" s="145"/>
      <c r="U69" s="144"/>
      <c r="V69" s="144"/>
      <c r="W69" s="144"/>
      <c r="X69" s="146"/>
      <c r="Y69" s="142"/>
      <c r="Z69" s="145"/>
      <c r="AA69" s="142"/>
      <c r="AB69" s="145"/>
      <c r="AC69" s="147"/>
      <c r="AD69" s="144"/>
      <c r="AE69" s="152" t="s">
        <v>335</v>
      </c>
      <c r="AF69" s="151" t="s">
        <v>449</v>
      </c>
      <c r="AG69" s="164">
        <v>46055</v>
      </c>
      <c r="AH69" s="164">
        <v>46374</v>
      </c>
      <c r="AI69" s="164"/>
      <c r="AJ69" s="164"/>
      <c r="AK69" s="164"/>
      <c r="AL69" s="164"/>
      <c r="AM69" s="164"/>
      <c r="AN69" s="164"/>
      <c r="AO69" s="164"/>
      <c r="AP69" s="164"/>
      <c r="AQ69" s="151"/>
      <c r="AR69" s="151"/>
    </row>
    <row r="70" spans="1:44" s="89" customFormat="1" ht="107.25" customHeight="1" x14ac:dyDescent="0.25">
      <c r="A70" s="241">
        <v>35</v>
      </c>
      <c r="B70" s="242" t="s">
        <v>317</v>
      </c>
      <c r="C70" s="243" t="s">
        <v>180</v>
      </c>
      <c r="D70" s="243" t="s">
        <v>322</v>
      </c>
      <c r="E70" s="244" t="s">
        <v>319</v>
      </c>
      <c r="F70" s="243" t="s">
        <v>370</v>
      </c>
      <c r="G70" s="245">
        <v>5000</v>
      </c>
      <c r="H70" s="233" t="str">
        <f t="shared" ref="H70" si="101">IF(G70&lt;=0,"",IF(G70&lt;=2,"Muy Baja",IF(G70&lt;=24,"Baja",IF(G70&lt;=500,"Media",IF(G70&lt;=5000,"Alta","Muy Alta")))))</f>
        <v>Alta</v>
      </c>
      <c r="I70" s="234">
        <f t="shared" ref="I70" si="102">IF(H70="","",IF(H70="Muy Baja",0.2,IF(H70="Baja",0.4,IF(H70="Media",0.6,IF(H70="Alta",0.8,IF(H70="Muy Alta",1,))))))</f>
        <v>0.8</v>
      </c>
      <c r="J70" s="236" t="s">
        <v>133</v>
      </c>
      <c r="K70" s="234" t="str">
        <f ca="1">IF(NOT(ISERROR(MATCH(J70,'Tabla Impacto'!$B$221:$B$223,0))),'Tabla Impacto'!$F$223&amp;"Por favor no seleccionar los criterios de impacto(Afectación Económica o presupuestal y Pérdida Reputacional)",J70)</f>
        <v xml:space="preserve">     Entre 10 y 50 SMLMV </v>
      </c>
      <c r="L70" s="233" t="str">
        <f ca="1">IF(OR(K70='Tabla Impacto'!$C$11,K70='Tabla Impacto'!$D$11),"Leve",IF(OR(K70='Tabla Impacto'!$C$12,K70='Tabla Impacto'!$D$12),"Menor",IF(OR(K70='Tabla Impacto'!$C$13,K70='Tabla Impacto'!$D$13),"Moderado",IF(OR(K70='Tabla Impacto'!$C$14,K70='Tabla Impacto'!$D$14),"Mayor",IF(OR(K70='Tabla Impacto'!$C$15,K70='Tabla Impacto'!$D$15),"Catastrófico","")))))</f>
        <v>Menor</v>
      </c>
      <c r="M70" s="234">
        <f t="shared" ref="M70" ca="1" si="103">IF(L70="","",IF(L70="Leve",0.2,IF(L70="Menor",0.4,IF(L70="Moderado",0.6,IF(L70="Mayor",0.8,IF(L70="Catastrófico",1,))))))</f>
        <v>0.4</v>
      </c>
      <c r="N70" s="235" t="str">
        <f t="shared" ref="N70" ca="1" si="104">IF(OR(AND(H70="Muy Baja",L70="Leve"),AND(H70="Muy Baja",L70="Menor"),AND(H70="Baja",L70="Leve")),"Bajo",IF(OR(AND(H70="Muy baja",L70="Moderado"),AND(H70="Baja",L70="Menor"),AND(H70="Baja",L70="Moderado"),AND(H70="Media",L70="Leve"),AND(H70="Media",L70="Menor"),AND(H70="Media",L70="Moderado"),AND(H70="Alta",L70="Leve"),AND(H70="Alta",L70="Menor")),"Moderado",IF(OR(AND(H70="Muy Baja",L70="Mayor"),AND(H70="Baja",L70="Mayor"),AND(H70="Media",L70="Mayor"),AND(H70="Alta",L70="Moderado"),AND(H70="Alta",L70="Mayor"),AND(H70="Muy Alta",L70="Leve"),AND(H70="Muy Alta",L70="Menor"),AND(H70="Muy Alta",L70="Moderado"),AND(H70="Muy Alta",L70="Mayor")),"Alto",IF(OR(AND(H70="Muy Baja",L70="Catastrófico"),AND(H70="Baja",L70="Catastrófico"),AND(H70="Media",L70="Catastrófico"),AND(H70="Alta",L70="Catastrófico"),AND(H70="Muy Alta",L70="Catastrófico")),"Extremo",""))))</f>
        <v>Moderado</v>
      </c>
      <c r="O70" s="136">
        <v>1</v>
      </c>
      <c r="P70" s="97" t="s">
        <v>325</v>
      </c>
      <c r="Q70" s="148" t="str">
        <f>IF(OR(R70="Preventivo",R70="Detectivo"),"Probabilidad",IF(R70="Correctivo","Impacto",""))</f>
        <v>Probabilidad</v>
      </c>
      <c r="R70" s="144" t="s">
        <v>152</v>
      </c>
      <c r="S70" s="144" t="s">
        <v>160</v>
      </c>
      <c r="T70" s="145" t="str">
        <f>IF(AND(R70="Preventivo",S70="Automático"),"50%",IF(AND(R70="Preventivo",S70="Manual"),"40%",IF(AND(R70="Detectivo",S70="Automático"),"40%",IF(AND(R70="Detectivo",S70="Manual"),"30%",IF(AND(R70="Correctivo",S70="Automático"),"35%",IF(AND(R70="Correctivo",S70="Manual"),"25%",""))))))</f>
        <v>40%</v>
      </c>
      <c r="U70" s="144" t="s">
        <v>163</v>
      </c>
      <c r="V70" s="144" t="s">
        <v>168</v>
      </c>
      <c r="W70" s="144" t="s">
        <v>172</v>
      </c>
      <c r="X70" s="146">
        <f>IFERROR(IF(Q70="Probabilidad",(I70-(+I70*T70)),IF(Q70="Impacto",I70,"")),"")</f>
        <v>0.48</v>
      </c>
      <c r="Y70" s="142" t="str">
        <f>IFERROR(IF(X70="","",IF(X70&lt;=0.2,"Muy Baja",IF(X70&lt;=0.4,"Baja",IF(X70&lt;=0.6,"Media",IF(X70&lt;=0.8,"Alta","Muy Alta"))))),"")</f>
        <v>Media</v>
      </c>
      <c r="Z70" s="145">
        <f>+X70</f>
        <v>0.48</v>
      </c>
      <c r="AA70" s="142" t="str">
        <f ca="1">IFERROR(IF(AB70="","",IF(AB70&lt;=0.2,"Leve",IF(AB70&lt;=0.4,"Menor",IF(AB70&lt;=0.6,"Moderado",IF(AB70&lt;=0.8,"Mayor","Catastrófico"))))),"")</f>
        <v>Menor</v>
      </c>
      <c r="AB70" s="145">
        <f ca="1">IFERROR(IF(Q70="Impacto",(M70-(+M70*T70)),IF(Q70="Probabilidad",M70,"")),"")</f>
        <v>0.4</v>
      </c>
      <c r="AC70" s="147" t="str">
        <f ca="1">IFERROR(IF(OR(AND(Y70="Muy Baja",AA70="Leve"),AND(Y70="Muy Baja",AA70="Menor"),AND(Y70="Baja",AA70="Leve")),"Bajo",IF(OR(AND(Y70="Muy baja",AA70="Moderado"),AND(Y70="Baja",AA70="Menor"),AND(Y70="Baja",AA70="Moderado"),AND(Y70="Media",AA70="Leve"),AND(Y70="Media",AA70="Menor"),AND(Y70="Media",AA70="Moderado"),AND(Y70="Alta",AA70="Leve"),AND(Y70="Alta",AA70="Menor")),"Moderado",IF(OR(AND(Y70="Muy Baja",AA70="Mayor"),AND(Y70="Baja",AA70="Mayor"),AND(Y70="Media",AA70="Mayor"),AND(Y70="Alta",AA70="Moderado"),AND(Y70="Alta",AA70="Mayor"),AND(Y70="Muy Alta",AA70="Leve"),AND(Y70="Muy Alta",AA70="Menor"),AND(Y70="Muy Alta",AA70="Moderado"),AND(Y70="Muy Alta",AA70="Mayor")),"Alto",IF(OR(AND(Y70="Muy Baja",AA70="Catastrófico"),AND(Y70="Baja",AA70="Catastrófico"),AND(Y70="Media",AA70="Catastrófico"),AND(Y70="Alta",AA70="Catastrófico"),AND(Y70="Muy Alta",AA70="Catastrófico")),"Extremo","")))),"")</f>
        <v>Moderado</v>
      </c>
      <c r="AD70" s="144" t="s">
        <v>179</v>
      </c>
      <c r="AE70" s="152" t="s">
        <v>330</v>
      </c>
      <c r="AF70" s="151" t="s">
        <v>449</v>
      </c>
      <c r="AG70" s="164">
        <v>46055</v>
      </c>
      <c r="AH70" s="164">
        <v>46374</v>
      </c>
      <c r="AI70" s="164"/>
      <c r="AJ70" s="164"/>
      <c r="AK70" s="164"/>
      <c r="AL70" s="164"/>
      <c r="AM70" s="164"/>
      <c r="AN70" s="164"/>
      <c r="AO70" s="164"/>
      <c r="AP70" s="164"/>
      <c r="AQ70" s="151"/>
      <c r="AR70" s="151"/>
    </row>
    <row r="71" spans="1:44" s="89" customFormat="1" ht="108" customHeight="1" x14ac:dyDescent="0.25">
      <c r="A71" s="241"/>
      <c r="B71" s="242"/>
      <c r="C71" s="243"/>
      <c r="D71" s="243"/>
      <c r="E71" s="244"/>
      <c r="F71" s="243"/>
      <c r="G71" s="245"/>
      <c r="H71" s="233"/>
      <c r="I71" s="234"/>
      <c r="J71" s="236"/>
      <c r="K71" s="234">
        <f ca="1">IF(NOT(ISERROR(MATCH(J71,_xlfn.ANCHORARRAY(#REF!),0))),#REF!&amp;"Por favor no seleccionar los criterios de impacto",J71)</f>
        <v>0</v>
      </c>
      <c r="L71" s="233"/>
      <c r="M71" s="234"/>
      <c r="N71" s="235"/>
      <c r="O71" s="136">
        <v>2</v>
      </c>
      <c r="P71" s="97" t="s">
        <v>326</v>
      </c>
      <c r="Q71" s="148"/>
      <c r="R71" s="144"/>
      <c r="S71" s="144"/>
      <c r="T71" s="145"/>
      <c r="U71" s="144"/>
      <c r="V71" s="144"/>
      <c r="W71" s="144"/>
      <c r="X71" s="146"/>
      <c r="Y71" s="142"/>
      <c r="Z71" s="145"/>
      <c r="AA71" s="142"/>
      <c r="AB71" s="145"/>
      <c r="AC71" s="147"/>
      <c r="AD71" s="144"/>
      <c r="AE71" s="152" t="s">
        <v>331</v>
      </c>
      <c r="AF71" s="151" t="s">
        <v>449</v>
      </c>
      <c r="AG71" s="164">
        <v>46055</v>
      </c>
      <c r="AH71" s="164">
        <v>46374</v>
      </c>
      <c r="AI71" s="164"/>
      <c r="AJ71" s="164"/>
      <c r="AK71" s="164"/>
      <c r="AL71" s="164"/>
      <c r="AM71" s="164"/>
      <c r="AN71" s="164"/>
      <c r="AO71" s="164"/>
      <c r="AP71" s="164"/>
      <c r="AQ71" s="151"/>
      <c r="AR71" s="151"/>
    </row>
    <row r="72" spans="1:44" s="89" customFormat="1" ht="108" customHeight="1" x14ac:dyDescent="0.25">
      <c r="A72" s="241">
        <v>36</v>
      </c>
      <c r="B72" s="242" t="s">
        <v>317</v>
      </c>
      <c r="C72" s="243" t="s">
        <v>182</v>
      </c>
      <c r="D72" s="243" t="s">
        <v>323</v>
      </c>
      <c r="E72" s="244" t="s">
        <v>320</v>
      </c>
      <c r="F72" s="243" t="s">
        <v>370</v>
      </c>
      <c r="G72" s="245">
        <v>500</v>
      </c>
      <c r="H72" s="233" t="str">
        <f t="shared" ref="H72" si="105">IF(G72&lt;=0,"",IF(G72&lt;=2,"Muy Baja",IF(G72&lt;=24,"Baja",IF(G72&lt;=500,"Media",IF(G72&lt;=5000,"Alta","Muy Alta")))))</f>
        <v>Media</v>
      </c>
      <c r="I72" s="234">
        <f t="shared" ref="I72" si="106">IF(H72="","",IF(H72="Muy Baja",0.2,IF(H72="Baja",0.4,IF(H72="Media",0.6,IF(H72="Alta",0.8,IF(H72="Muy Alta",1,))))))</f>
        <v>0.6</v>
      </c>
      <c r="J72" s="236" t="s">
        <v>133</v>
      </c>
      <c r="K72" s="234" t="str">
        <f ca="1">IF(NOT(ISERROR(MATCH(J72,'Tabla Impacto'!$B$221:$B$223,0))),'Tabla Impacto'!$F$223&amp;"Por favor no seleccionar los criterios de impacto(Afectación Económica o presupuestal y Pérdida Reputacional)",J72)</f>
        <v xml:space="preserve">     Entre 10 y 50 SMLMV </v>
      </c>
      <c r="L72" s="233" t="str">
        <f ca="1">IF(OR(K72='Tabla Impacto'!$C$11,K72='Tabla Impacto'!$D$11),"Leve",IF(OR(K72='Tabla Impacto'!$C$12,K72='Tabla Impacto'!$D$12),"Menor",IF(OR(K72='Tabla Impacto'!$C$13,K72='Tabla Impacto'!$D$13),"Moderado",IF(OR(K72='Tabla Impacto'!$C$14,K72='Tabla Impacto'!$D$14),"Mayor",IF(OR(K72='Tabla Impacto'!$C$15,K72='Tabla Impacto'!$D$15),"Catastrófico","")))))</f>
        <v>Menor</v>
      </c>
      <c r="M72" s="234">
        <f t="shared" ref="M72" ca="1" si="107">IF(L72="","",IF(L72="Leve",0.2,IF(L72="Menor",0.4,IF(L72="Moderado",0.6,IF(L72="Mayor",0.8,IF(L72="Catastrófico",1,))))))</f>
        <v>0.4</v>
      </c>
      <c r="N72" s="235" t="str">
        <f t="shared" ref="N72" ca="1" si="108">IF(OR(AND(H72="Muy Baja",L72="Leve"),AND(H72="Muy Baja",L72="Menor"),AND(H72="Baja",L72="Leve")),"Bajo",IF(OR(AND(H72="Muy baja",L72="Moderado"),AND(H72="Baja",L72="Menor"),AND(H72="Baja",L72="Moderado"),AND(H72="Media",L72="Leve"),AND(H72="Media",L72="Menor"),AND(H72="Media",L72="Moderado"),AND(H72="Alta",L72="Leve"),AND(H72="Alta",L72="Menor")),"Moderado",IF(OR(AND(H72="Muy Baja",L72="Mayor"),AND(H72="Baja",L72="Mayor"),AND(H72="Media",L72="Mayor"),AND(H72="Alta",L72="Moderado"),AND(H72="Alta",L72="Mayor"),AND(H72="Muy Alta",L72="Leve"),AND(H72="Muy Alta",L72="Menor"),AND(H72="Muy Alta",L72="Moderado"),AND(H72="Muy Alta",L72="Mayor")),"Alto",IF(OR(AND(H72="Muy Baja",L72="Catastrófico"),AND(H72="Baja",L72="Catastrófico"),AND(H72="Media",L72="Catastrófico"),AND(H72="Alta",L72="Catastrófico"),AND(H72="Muy Alta",L72="Catastrófico")),"Extremo",""))))</f>
        <v>Moderado</v>
      </c>
      <c r="O72" s="136">
        <v>1</v>
      </c>
      <c r="P72" s="97" t="s">
        <v>327</v>
      </c>
      <c r="Q72" s="148" t="str">
        <f>IF(OR(R72="Preventivo",R72="Detectivo"),"Probabilidad",IF(R72="Correctivo","Impacto",""))</f>
        <v>Probabilidad</v>
      </c>
      <c r="R72" s="144" t="s">
        <v>152</v>
      </c>
      <c r="S72" s="144" t="s">
        <v>160</v>
      </c>
      <c r="T72" s="145" t="str">
        <f>IF(AND(R72="Preventivo",S72="Automático"),"50%",IF(AND(R72="Preventivo",S72="Manual"),"40%",IF(AND(R72="Detectivo",S72="Automático"),"40%",IF(AND(R72="Detectivo",S72="Manual"),"30%",IF(AND(R72="Correctivo",S72="Automático"),"35%",IF(AND(R72="Correctivo",S72="Manual"),"25%",""))))))</f>
        <v>40%</v>
      </c>
      <c r="U72" s="144" t="s">
        <v>163</v>
      </c>
      <c r="V72" s="144" t="s">
        <v>168</v>
      </c>
      <c r="W72" s="144" t="s">
        <v>172</v>
      </c>
      <c r="X72" s="146">
        <f>IFERROR(IF(Q72="Probabilidad",(I72-(+I72*T72)),IF(Q72="Impacto",I72,"")),"")</f>
        <v>0.36</v>
      </c>
      <c r="Y72" s="142" t="str">
        <f>IFERROR(IF(X72="","",IF(X72&lt;=0.2,"Muy Baja",IF(X72&lt;=0.4,"Baja",IF(X72&lt;=0.6,"Media",IF(X72&lt;=0.8,"Alta","Muy Alta"))))),"")</f>
        <v>Baja</v>
      </c>
      <c r="Z72" s="145">
        <f>+X72</f>
        <v>0.36</v>
      </c>
      <c r="AA72" s="142" t="str">
        <f ca="1">IFERROR(IF(AB72="","",IF(AB72&lt;=0.2,"Leve",IF(AB72&lt;=0.4,"Menor",IF(AB72&lt;=0.6,"Moderado",IF(AB72&lt;=0.8,"Mayor","Catastrófico"))))),"")</f>
        <v>Menor</v>
      </c>
      <c r="AB72" s="145">
        <f ca="1">IFERROR(IF(Q72="Impacto",(M72-(+M72*T72)),IF(Q72="Probabilidad",M72,"")),"")</f>
        <v>0.4</v>
      </c>
      <c r="AC72" s="147" t="str">
        <f ca="1">IFERROR(IF(OR(AND(Y72="Muy Baja",AA72="Leve"),AND(Y72="Muy Baja",AA72="Menor"),AND(Y72="Baja",AA72="Leve")),"Bajo",IF(OR(AND(Y72="Muy baja",AA72="Moderado"),AND(Y72="Baja",AA72="Menor"),AND(Y72="Baja",AA72="Moderado"),AND(Y72="Media",AA72="Leve"),AND(Y72="Media",AA72="Menor"),AND(Y72="Media",AA72="Moderado"),AND(Y72="Alta",AA72="Leve"),AND(Y72="Alta",AA72="Menor")),"Moderado",IF(OR(AND(Y72="Muy Baja",AA72="Mayor"),AND(Y72="Baja",AA72="Mayor"),AND(Y72="Media",AA72="Mayor"),AND(Y72="Alta",AA72="Moderado"),AND(Y72="Alta",AA72="Mayor"),AND(Y72="Muy Alta",AA72="Leve"),AND(Y72="Muy Alta",AA72="Menor"),AND(Y72="Muy Alta",AA72="Moderado"),AND(Y72="Muy Alta",AA72="Mayor")),"Alto",IF(OR(AND(Y72="Muy Baja",AA72="Catastrófico"),AND(Y72="Baja",AA72="Catastrófico"),AND(Y72="Media",AA72="Catastrófico"),AND(Y72="Alta",AA72="Catastrófico"),AND(Y72="Muy Alta",AA72="Catastrófico")),"Extremo","")))),"")</f>
        <v>Moderado</v>
      </c>
      <c r="AD72" s="144" t="s">
        <v>179</v>
      </c>
      <c r="AE72" s="152" t="s">
        <v>332</v>
      </c>
      <c r="AF72" s="151" t="s">
        <v>449</v>
      </c>
      <c r="AG72" s="164">
        <v>46055</v>
      </c>
      <c r="AH72" s="164">
        <v>46374</v>
      </c>
      <c r="AI72" s="164"/>
      <c r="AJ72" s="164"/>
      <c r="AK72" s="164"/>
      <c r="AL72" s="164"/>
      <c r="AM72" s="164"/>
      <c r="AN72" s="164"/>
      <c r="AO72" s="164"/>
      <c r="AP72" s="164"/>
      <c r="AQ72" s="151"/>
      <c r="AR72" s="151"/>
    </row>
    <row r="73" spans="1:44" s="89" customFormat="1" ht="203.25" customHeight="1" x14ac:dyDescent="0.25">
      <c r="A73" s="241"/>
      <c r="B73" s="242"/>
      <c r="C73" s="243"/>
      <c r="D73" s="243"/>
      <c r="E73" s="244"/>
      <c r="F73" s="243"/>
      <c r="G73" s="245"/>
      <c r="H73" s="233"/>
      <c r="I73" s="234"/>
      <c r="J73" s="236"/>
      <c r="K73" s="234">
        <f ca="1">IF(NOT(ISERROR(MATCH(J73,_xlfn.ANCHORARRAY(E81),0))),I83&amp;"Por favor no seleccionar los criterios de impacto",J73)</f>
        <v>0</v>
      </c>
      <c r="L73" s="233"/>
      <c r="M73" s="234"/>
      <c r="N73" s="235"/>
      <c r="O73" s="136">
        <v>2</v>
      </c>
      <c r="P73" s="97" t="s">
        <v>411</v>
      </c>
      <c r="Q73" s="148" t="str">
        <f t="shared" ref="Q73:Q75" si="109">IF(OR(R73="Preventivo",R73="Detectivo"),"Probabilidad",IF(R73="Correctivo","Impacto",""))</f>
        <v>Probabilidad</v>
      </c>
      <c r="R73" s="144" t="s">
        <v>152</v>
      </c>
      <c r="S73" s="144" t="s">
        <v>160</v>
      </c>
      <c r="T73" s="145" t="str">
        <f t="shared" ref="T73:T75" si="110">IF(AND(R73="Preventivo",S73="Automático"),"50%",IF(AND(R73="Preventivo",S73="Manual"),"40%",IF(AND(R73="Detectivo",S73="Automático"),"40%",IF(AND(R73="Detectivo",S73="Manual"),"30%",IF(AND(R73="Correctivo",S73="Automático"),"35%",IF(AND(R73="Correctivo",S73="Manual"),"25%",""))))))</f>
        <v>40%</v>
      </c>
      <c r="U73" s="144" t="s">
        <v>163</v>
      </c>
      <c r="V73" s="144" t="s">
        <v>168</v>
      </c>
      <c r="W73" s="144" t="s">
        <v>172</v>
      </c>
      <c r="X73" s="146">
        <f t="shared" ref="X73:X75" si="111">IFERROR(IF(Q73="Probabilidad",(I73-(+I73*T73)),IF(Q73="Impacto",I73,"")),"")</f>
        <v>0</v>
      </c>
      <c r="Y73" s="142" t="str">
        <f t="shared" ref="Y73:Y75" si="112">IFERROR(IF(X73="","",IF(X73&lt;=0.2,"Muy Baja",IF(X73&lt;=0.4,"Baja",IF(X73&lt;=0.6,"Media",IF(X73&lt;=0.8,"Alta","Muy Alta"))))),"")</f>
        <v>Muy Baja</v>
      </c>
      <c r="Z73" s="145">
        <f t="shared" ref="Z73:Z75" si="113">+X73</f>
        <v>0</v>
      </c>
      <c r="AA73" s="142" t="str">
        <f t="shared" ref="AA73:AA75" si="114">IFERROR(IF(AB73="","",IF(AB73&lt;=0.2,"Leve",IF(AB73&lt;=0.4,"Menor",IF(AB73&lt;=0.6,"Moderado",IF(AB73&lt;=0.8,"Mayor","Catastrófico"))))),"")</f>
        <v>Leve</v>
      </c>
      <c r="AB73" s="145">
        <f t="shared" ref="AB73:AB75" si="115">IFERROR(IF(Q73="Impacto",(M73-(+M73*T73)),IF(Q73="Probabilidad",M73,"")),"")</f>
        <v>0</v>
      </c>
      <c r="AC73" s="147" t="str">
        <f t="shared" ref="AC73:AC75" si="116">IFERROR(IF(OR(AND(Y73="Muy Baja",AA73="Leve"),AND(Y73="Muy Baja",AA73="Menor"),AND(Y73="Baja",AA73="Leve")),"Bajo",IF(OR(AND(Y73="Muy baja",AA73="Moderado"),AND(Y73="Baja",AA73="Menor"),AND(Y73="Baja",AA73="Moderado"),AND(Y73="Media",AA73="Leve"),AND(Y73="Media",AA73="Menor"),AND(Y73="Media",AA73="Moderado"),AND(Y73="Alta",AA73="Leve"),AND(Y73="Alta",AA73="Menor")),"Moderado",IF(OR(AND(Y73="Muy Baja",AA73="Mayor"),AND(Y73="Baja",AA73="Mayor"),AND(Y73="Media",AA73="Mayor"),AND(Y73="Alta",AA73="Moderado"),AND(Y73="Alta",AA73="Mayor"),AND(Y73="Muy Alta",AA73="Leve"),AND(Y73="Muy Alta",AA73="Menor"),AND(Y73="Muy Alta",AA73="Moderado"),AND(Y73="Muy Alta",AA73="Mayor")),"Alto",IF(OR(AND(Y73="Muy Baja",AA73="Catastrófico"),AND(Y73="Baja",AA73="Catastrófico"),AND(Y73="Media",AA73="Catastrófico"),AND(Y73="Alta",AA73="Catastrófico"),AND(Y73="Muy Alta",AA73="Catastrófico")),"Extremo","")))),"")</f>
        <v>Bajo</v>
      </c>
      <c r="AD73" s="144" t="s">
        <v>179</v>
      </c>
      <c r="AE73" s="152" t="s">
        <v>410</v>
      </c>
      <c r="AF73" s="151" t="s">
        <v>449</v>
      </c>
      <c r="AG73" s="164">
        <v>46055</v>
      </c>
      <c r="AH73" s="164">
        <v>46374</v>
      </c>
      <c r="AI73" s="164"/>
      <c r="AJ73" s="164"/>
      <c r="AK73" s="164"/>
      <c r="AL73" s="164"/>
      <c r="AM73" s="164"/>
      <c r="AN73" s="164"/>
      <c r="AO73" s="164"/>
      <c r="AP73" s="164"/>
      <c r="AQ73" s="151"/>
      <c r="AR73" s="151"/>
    </row>
    <row r="74" spans="1:44" s="89" customFormat="1" ht="141.75" customHeight="1" x14ac:dyDescent="0.25">
      <c r="A74" s="241"/>
      <c r="B74" s="242"/>
      <c r="C74" s="243"/>
      <c r="D74" s="243"/>
      <c r="E74" s="244"/>
      <c r="F74" s="243"/>
      <c r="G74" s="245"/>
      <c r="H74" s="233"/>
      <c r="I74" s="234"/>
      <c r="J74" s="236"/>
      <c r="K74" s="234">
        <f ca="1">IF(NOT(ISERROR(MATCH(J74,_xlfn.ANCHORARRAY(E82),0))),I84&amp;"Por favor no seleccionar los criterios de impacto",J74)</f>
        <v>0</v>
      </c>
      <c r="L74" s="233"/>
      <c r="M74" s="234"/>
      <c r="N74" s="235"/>
      <c r="O74" s="136">
        <v>3</v>
      </c>
      <c r="P74" s="97" t="s">
        <v>328</v>
      </c>
      <c r="Q74" s="148" t="str">
        <f t="shared" si="109"/>
        <v>Probabilidad</v>
      </c>
      <c r="R74" s="144" t="s">
        <v>152</v>
      </c>
      <c r="S74" s="144" t="s">
        <v>160</v>
      </c>
      <c r="T74" s="145" t="str">
        <f t="shared" si="110"/>
        <v>40%</v>
      </c>
      <c r="U74" s="144" t="s">
        <v>163</v>
      </c>
      <c r="V74" s="144" t="s">
        <v>168</v>
      </c>
      <c r="W74" s="144" t="s">
        <v>172</v>
      </c>
      <c r="X74" s="146">
        <f t="shared" si="111"/>
        <v>0</v>
      </c>
      <c r="Y74" s="142" t="str">
        <f t="shared" si="112"/>
        <v>Muy Baja</v>
      </c>
      <c r="Z74" s="145">
        <f t="shared" si="113"/>
        <v>0</v>
      </c>
      <c r="AA74" s="142" t="str">
        <f t="shared" si="114"/>
        <v>Leve</v>
      </c>
      <c r="AB74" s="145">
        <f t="shared" si="115"/>
        <v>0</v>
      </c>
      <c r="AC74" s="147" t="str">
        <f t="shared" si="116"/>
        <v>Bajo</v>
      </c>
      <c r="AD74" s="144" t="s">
        <v>179</v>
      </c>
      <c r="AE74" s="152" t="s">
        <v>333</v>
      </c>
      <c r="AF74" s="151" t="s">
        <v>449</v>
      </c>
      <c r="AG74" s="164">
        <v>46055</v>
      </c>
      <c r="AH74" s="164">
        <v>46374</v>
      </c>
      <c r="AI74" s="164"/>
      <c r="AJ74" s="164"/>
      <c r="AK74" s="164"/>
      <c r="AL74" s="164"/>
      <c r="AM74" s="164"/>
      <c r="AN74" s="164"/>
      <c r="AO74" s="164"/>
      <c r="AP74" s="164"/>
      <c r="AQ74" s="151"/>
      <c r="AR74" s="151"/>
    </row>
    <row r="75" spans="1:44" s="89" customFormat="1" ht="123.75" customHeight="1" x14ac:dyDescent="0.25">
      <c r="A75" s="241"/>
      <c r="B75" s="242"/>
      <c r="C75" s="243"/>
      <c r="D75" s="243"/>
      <c r="E75" s="244"/>
      <c r="F75" s="243"/>
      <c r="G75" s="245"/>
      <c r="H75" s="233"/>
      <c r="I75" s="234"/>
      <c r="J75" s="236"/>
      <c r="K75" s="234">
        <f ca="1">IF(NOT(ISERROR(MATCH(J75,_xlfn.ANCHORARRAY(E83),0))),I85&amp;"Por favor no seleccionar los criterios de impacto",J75)</f>
        <v>0</v>
      </c>
      <c r="L75" s="233"/>
      <c r="M75" s="234"/>
      <c r="N75" s="235"/>
      <c r="O75" s="136">
        <v>4</v>
      </c>
      <c r="P75" s="97" t="s">
        <v>329</v>
      </c>
      <c r="Q75" s="148" t="str">
        <f t="shared" si="109"/>
        <v>Probabilidad</v>
      </c>
      <c r="R75" s="144" t="s">
        <v>152</v>
      </c>
      <c r="S75" s="144" t="s">
        <v>160</v>
      </c>
      <c r="T75" s="145" t="str">
        <f t="shared" si="110"/>
        <v>40%</v>
      </c>
      <c r="U75" s="144" t="s">
        <v>163</v>
      </c>
      <c r="V75" s="144" t="s">
        <v>168</v>
      </c>
      <c r="W75" s="144" t="s">
        <v>172</v>
      </c>
      <c r="X75" s="146">
        <f t="shared" si="111"/>
        <v>0</v>
      </c>
      <c r="Y75" s="142" t="str">
        <f t="shared" si="112"/>
        <v>Muy Baja</v>
      </c>
      <c r="Z75" s="145">
        <f t="shared" si="113"/>
        <v>0</v>
      </c>
      <c r="AA75" s="142" t="str">
        <f t="shared" si="114"/>
        <v>Leve</v>
      </c>
      <c r="AB75" s="145">
        <f t="shared" si="115"/>
        <v>0</v>
      </c>
      <c r="AC75" s="147" t="str">
        <f t="shared" si="116"/>
        <v>Bajo</v>
      </c>
      <c r="AD75" s="144" t="s">
        <v>179</v>
      </c>
      <c r="AE75" s="152" t="s">
        <v>336</v>
      </c>
      <c r="AF75" s="151" t="s">
        <v>449</v>
      </c>
      <c r="AG75" s="164">
        <v>46055</v>
      </c>
      <c r="AH75" s="164">
        <v>46374</v>
      </c>
      <c r="AI75" s="164"/>
      <c r="AJ75" s="164"/>
      <c r="AK75" s="164"/>
      <c r="AL75" s="164"/>
      <c r="AM75" s="164"/>
      <c r="AN75" s="164"/>
      <c r="AO75" s="164"/>
      <c r="AP75" s="164"/>
      <c r="AQ75" s="151"/>
      <c r="AR75" s="151"/>
    </row>
    <row r="76" spans="1:44" ht="16.5" hidden="1" customHeight="1" x14ac:dyDescent="0.3">
      <c r="A76" s="238">
        <v>37</v>
      </c>
      <c r="B76" s="238"/>
      <c r="C76" s="239"/>
      <c r="D76" s="239"/>
      <c r="E76" s="240"/>
      <c r="F76" s="239"/>
      <c r="G76" s="237"/>
      <c r="H76" s="231"/>
      <c r="I76" s="230"/>
      <c r="J76" s="229"/>
      <c r="K76" s="230"/>
      <c r="L76" s="231"/>
      <c r="M76" s="230"/>
      <c r="N76" s="232"/>
      <c r="O76" s="90">
        <v>1</v>
      </c>
      <c r="P76" s="97"/>
      <c r="Q76" s="96"/>
      <c r="R76" s="92"/>
      <c r="S76" s="92"/>
      <c r="T76" s="93"/>
      <c r="U76" s="92"/>
      <c r="V76" s="92"/>
      <c r="W76" s="92"/>
      <c r="X76" s="94"/>
      <c r="Y76" s="91"/>
      <c r="Z76" s="93"/>
      <c r="AA76" s="91"/>
      <c r="AB76" s="93"/>
      <c r="AC76" s="95"/>
      <c r="AD76" s="92"/>
      <c r="AE76" s="153"/>
      <c r="AF76" s="165"/>
      <c r="AG76" s="166"/>
      <c r="AH76" s="166"/>
      <c r="AI76" s="166"/>
      <c r="AJ76" s="164"/>
      <c r="AK76" s="164"/>
      <c r="AL76" s="164"/>
      <c r="AM76" s="164"/>
      <c r="AN76" s="164"/>
      <c r="AO76" s="164"/>
      <c r="AP76" s="164"/>
      <c r="AQ76" s="151"/>
      <c r="AR76" s="151"/>
    </row>
    <row r="77" spans="1:44" ht="16.5" hidden="1" customHeight="1" x14ac:dyDescent="0.3">
      <c r="A77" s="238"/>
      <c r="B77" s="238"/>
      <c r="C77" s="239"/>
      <c r="D77" s="239"/>
      <c r="E77" s="240"/>
      <c r="F77" s="239"/>
      <c r="G77" s="237"/>
      <c r="H77" s="231"/>
      <c r="I77" s="230"/>
      <c r="J77" s="229"/>
      <c r="K77" s="230"/>
      <c r="L77" s="231"/>
      <c r="M77" s="230"/>
      <c r="N77" s="232"/>
      <c r="O77" s="90">
        <v>2</v>
      </c>
      <c r="P77" s="97"/>
      <c r="Q77" s="96"/>
      <c r="R77" s="92"/>
      <c r="S77" s="92"/>
      <c r="T77" s="93"/>
      <c r="U77" s="92"/>
      <c r="V77" s="92"/>
      <c r="W77" s="92"/>
      <c r="X77" s="94"/>
      <c r="Y77" s="91"/>
      <c r="Z77" s="93"/>
      <c r="AA77" s="91"/>
      <c r="AB77" s="93"/>
      <c r="AC77" s="95"/>
      <c r="AD77" s="92"/>
      <c r="AE77" s="153"/>
      <c r="AF77" s="165"/>
      <c r="AG77" s="166"/>
      <c r="AH77" s="166"/>
      <c r="AI77" s="166"/>
      <c r="AJ77" s="164"/>
      <c r="AK77" s="164"/>
      <c r="AL77" s="164"/>
      <c r="AM77" s="164"/>
      <c r="AN77" s="164"/>
      <c r="AO77" s="164"/>
      <c r="AP77" s="164"/>
      <c r="AQ77" s="151"/>
      <c r="AR77" s="151"/>
    </row>
    <row r="78" spans="1:44" ht="16.5" hidden="1" customHeight="1" x14ac:dyDescent="0.3">
      <c r="A78" s="238"/>
      <c r="B78" s="238"/>
      <c r="C78" s="239"/>
      <c r="D78" s="239"/>
      <c r="E78" s="240"/>
      <c r="F78" s="239"/>
      <c r="G78" s="237"/>
      <c r="H78" s="231"/>
      <c r="I78" s="230"/>
      <c r="J78" s="229"/>
      <c r="K78" s="230"/>
      <c r="L78" s="231"/>
      <c r="M78" s="230"/>
      <c r="N78" s="232"/>
      <c r="O78" s="90">
        <v>3</v>
      </c>
      <c r="P78" s="97"/>
      <c r="Q78" s="96"/>
      <c r="R78" s="92"/>
      <c r="S78" s="92"/>
      <c r="T78" s="93"/>
      <c r="U78" s="92"/>
      <c r="V78" s="92"/>
      <c r="W78" s="92"/>
      <c r="X78" s="94"/>
      <c r="Y78" s="91"/>
      <c r="Z78" s="93"/>
      <c r="AA78" s="91"/>
      <c r="AB78" s="93"/>
      <c r="AC78" s="95"/>
      <c r="AD78" s="92"/>
      <c r="AE78" s="153"/>
      <c r="AF78" s="165"/>
      <c r="AG78" s="166"/>
      <c r="AH78" s="166"/>
      <c r="AI78" s="166"/>
      <c r="AJ78" s="164"/>
      <c r="AK78" s="164"/>
      <c r="AL78" s="164"/>
      <c r="AM78" s="164"/>
      <c r="AN78" s="164"/>
      <c r="AO78" s="164"/>
      <c r="AP78" s="164"/>
      <c r="AQ78" s="151"/>
      <c r="AR78" s="151"/>
    </row>
    <row r="79" spans="1:44" ht="16.5" hidden="1" customHeight="1" x14ac:dyDescent="0.3">
      <c r="A79" s="238"/>
      <c r="B79" s="238"/>
      <c r="C79" s="239"/>
      <c r="D79" s="239"/>
      <c r="E79" s="240"/>
      <c r="F79" s="239"/>
      <c r="G79" s="237"/>
      <c r="H79" s="231"/>
      <c r="I79" s="230"/>
      <c r="J79" s="229"/>
      <c r="K79" s="230"/>
      <c r="L79" s="231"/>
      <c r="M79" s="230"/>
      <c r="N79" s="232"/>
      <c r="O79" s="90">
        <v>4</v>
      </c>
      <c r="P79" s="97"/>
      <c r="Q79" s="96"/>
      <c r="R79" s="92"/>
      <c r="S79" s="92"/>
      <c r="T79" s="93"/>
      <c r="U79" s="92"/>
      <c r="V79" s="92"/>
      <c r="W79" s="92"/>
      <c r="X79" s="94"/>
      <c r="Y79" s="91"/>
      <c r="Z79" s="93"/>
      <c r="AA79" s="91"/>
      <c r="AB79" s="93"/>
      <c r="AC79" s="95"/>
      <c r="AD79" s="92"/>
      <c r="AE79" s="153"/>
      <c r="AF79" s="151" t="s">
        <v>438</v>
      </c>
      <c r="AG79" s="164">
        <v>45324</v>
      </c>
      <c r="AH79" s="164">
        <v>45641</v>
      </c>
      <c r="AI79" s="164" t="s">
        <v>436</v>
      </c>
      <c r="AJ79" s="164" t="s">
        <v>433</v>
      </c>
      <c r="AK79" s="164"/>
      <c r="AL79" s="164"/>
      <c r="AM79" s="164"/>
      <c r="AN79" s="164"/>
      <c r="AO79" s="164"/>
      <c r="AP79" s="164"/>
      <c r="AQ79" s="151"/>
      <c r="AR79" s="151"/>
    </row>
    <row r="80" spans="1:44" ht="16.5" hidden="1" customHeight="1" x14ac:dyDescent="0.3">
      <c r="A80" s="238"/>
      <c r="B80" s="238"/>
      <c r="C80" s="239"/>
      <c r="D80" s="239"/>
      <c r="E80" s="240"/>
      <c r="F80" s="239"/>
      <c r="G80" s="237"/>
      <c r="H80" s="231"/>
      <c r="I80" s="230"/>
      <c r="J80" s="229"/>
      <c r="K80" s="230"/>
      <c r="L80" s="231"/>
      <c r="M80" s="230"/>
      <c r="N80" s="232"/>
      <c r="O80" s="90">
        <v>5</v>
      </c>
      <c r="P80" s="97"/>
      <c r="Q80" s="96"/>
      <c r="R80" s="92"/>
      <c r="S80" s="92"/>
      <c r="T80" s="93"/>
      <c r="U80" s="92"/>
      <c r="V80" s="92"/>
      <c r="W80" s="92"/>
      <c r="X80" s="94"/>
      <c r="Y80" s="91"/>
      <c r="Z80" s="93"/>
      <c r="AA80" s="91"/>
      <c r="AB80" s="93"/>
      <c r="AC80" s="95"/>
      <c r="AD80" s="92"/>
      <c r="AE80" s="153"/>
      <c r="AF80" s="151" t="s">
        <v>439</v>
      </c>
      <c r="AG80" s="164">
        <v>45324</v>
      </c>
      <c r="AH80" s="164">
        <v>45641</v>
      </c>
      <c r="AI80" s="164" t="s">
        <v>436</v>
      </c>
      <c r="AJ80" s="164" t="s">
        <v>433</v>
      </c>
      <c r="AK80" s="164"/>
      <c r="AL80" s="164"/>
      <c r="AM80" s="164"/>
      <c r="AN80" s="164"/>
      <c r="AO80" s="164"/>
      <c r="AP80" s="164"/>
      <c r="AQ80" s="151"/>
      <c r="AR80" s="151"/>
    </row>
    <row r="81" spans="1:44" ht="16.5" hidden="1" customHeight="1" x14ac:dyDescent="0.3">
      <c r="A81" s="238"/>
      <c r="B81" s="238"/>
      <c r="C81" s="239"/>
      <c r="D81" s="239"/>
      <c r="E81" s="240"/>
      <c r="F81" s="239"/>
      <c r="G81" s="237"/>
      <c r="H81" s="231"/>
      <c r="I81" s="230"/>
      <c r="J81" s="229"/>
      <c r="K81" s="230"/>
      <c r="L81" s="231"/>
      <c r="M81" s="230"/>
      <c r="N81" s="232"/>
      <c r="O81" s="90">
        <v>6</v>
      </c>
      <c r="P81" s="97"/>
      <c r="Q81" s="96"/>
      <c r="R81" s="92"/>
      <c r="S81" s="92"/>
      <c r="T81" s="93"/>
      <c r="U81" s="92"/>
      <c r="V81" s="92"/>
      <c r="W81" s="92"/>
      <c r="X81" s="94"/>
      <c r="Y81" s="91"/>
      <c r="Z81" s="93"/>
      <c r="AA81" s="91"/>
      <c r="AB81" s="93"/>
      <c r="AC81" s="95"/>
      <c r="AD81" s="92"/>
      <c r="AE81" s="153"/>
      <c r="AF81" s="151"/>
      <c r="AG81" s="164"/>
      <c r="AH81" s="164"/>
      <c r="AI81" s="164"/>
      <c r="AJ81" s="164"/>
      <c r="AK81" s="164"/>
      <c r="AL81" s="164"/>
      <c r="AM81" s="164"/>
      <c r="AN81" s="164"/>
      <c r="AO81" s="164"/>
      <c r="AP81" s="164"/>
      <c r="AQ81" s="151"/>
      <c r="AR81" s="151"/>
    </row>
    <row r="82" spans="1:44" ht="16.5" hidden="1" customHeight="1" x14ac:dyDescent="0.3">
      <c r="A82" s="238">
        <v>38</v>
      </c>
      <c r="B82" s="238"/>
      <c r="C82" s="239"/>
      <c r="D82" s="239"/>
      <c r="E82" s="240"/>
      <c r="F82" s="239"/>
      <c r="G82" s="237"/>
      <c r="H82" s="231"/>
      <c r="I82" s="230"/>
      <c r="J82" s="229"/>
      <c r="K82" s="230"/>
      <c r="L82" s="231"/>
      <c r="M82" s="230"/>
      <c r="N82" s="232"/>
      <c r="O82" s="90">
        <v>1</v>
      </c>
      <c r="P82" s="97"/>
      <c r="Q82" s="96"/>
      <c r="R82" s="92"/>
      <c r="S82" s="92"/>
      <c r="T82" s="93"/>
      <c r="U82" s="92"/>
      <c r="V82" s="92"/>
      <c r="W82" s="92"/>
      <c r="X82" s="94"/>
      <c r="Y82" s="91"/>
      <c r="Z82" s="93"/>
      <c r="AA82" s="91"/>
      <c r="AB82" s="93"/>
      <c r="AC82" s="95"/>
      <c r="AD82" s="92"/>
      <c r="AE82" s="153"/>
      <c r="AF82" s="151"/>
      <c r="AG82" s="164"/>
      <c r="AH82" s="164"/>
      <c r="AI82" s="164"/>
      <c r="AJ82" s="164"/>
      <c r="AK82" s="164"/>
      <c r="AL82" s="164"/>
      <c r="AM82" s="164"/>
      <c r="AN82" s="164"/>
      <c r="AO82" s="164"/>
      <c r="AP82" s="164"/>
      <c r="AQ82" s="151"/>
      <c r="AR82" s="151"/>
    </row>
    <row r="83" spans="1:44" ht="16.5" hidden="1" customHeight="1" x14ac:dyDescent="0.3">
      <c r="A83" s="238"/>
      <c r="B83" s="238"/>
      <c r="C83" s="239"/>
      <c r="D83" s="239"/>
      <c r="E83" s="240"/>
      <c r="F83" s="239"/>
      <c r="G83" s="237"/>
      <c r="H83" s="231"/>
      <c r="I83" s="230"/>
      <c r="J83" s="229"/>
      <c r="K83" s="230"/>
      <c r="L83" s="231"/>
      <c r="M83" s="230"/>
      <c r="N83" s="232"/>
      <c r="O83" s="90">
        <v>2</v>
      </c>
      <c r="P83" s="97"/>
      <c r="Q83" s="96"/>
      <c r="R83" s="92"/>
      <c r="S83" s="92"/>
      <c r="T83" s="93"/>
      <c r="U83" s="92"/>
      <c r="V83" s="92"/>
      <c r="W83" s="92"/>
      <c r="X83" s="94"/>
      <c r="Y83" s="91"/>
      <c r="Z83" s="93"/>
      <c r="AA83" s="91"/>
      <c r="AB83" s="93"/>
      <c r="AC83" s="95"/>
      <c r="AD83" s="92"/>
      <c r="AE83" s="153"/>
      <c r="AF83" s="165"/>
      <c r="AG83" s="166"/>
      <c r="AH83" s="166"/>
      <c r="AI83" s="166"/>
      <c r="AJ83" s="164"/>
      <c r="AK83" s="164"/>
      <c r="AL83" s="164"/>
      <c r="AM83" s="164"/>
      <c r="AN83" s="164"/>
      <c r="AO83" s="164"/>
      <c r="AP83" s="164"/>
      <c r="AQ83" s="151"/>
      <c r="AR83" s="151"/>
    </row>
    <row r="84" spans="1:44" ht="16.5" hidden="1" customHeight="1" x14ac:dyDescent="0.3">
      <c r="A84" s="238"/>
      <c r="B84" s="238"/>
      <c r="C84" s="239"/>
      <c r="D84" s="239"/>
      <c r="E84" s="240"/>
      <c r="F84" s="239"/>
      <c r="G84" s="237"/>
      <c r="H84" s="231"/>
      <c r="I84" s="230"/>
      <c r="J84" s="229"/>
      <c r="K84" s="230"/>
      <c r="L84" s="231"/>
      <c r="M84" s="230"/>
      <c r="N84" s="232"/>
      <c r="O84" s="90">
        <v>3</v>
      </c>
      <c r="P84" s="97"/>
      <c r="Q84" s="96"/>
      <c r="R84" s="92"/>
      <c r="S84" s="92"/>
      <c r="T84" s="93"/>
      <c r="U84" s="92"/>
      <c r="V84" s="92"/>
      <c r="W84" s="92"/>
      <c r="X84" s="94"/>
      <c r="Y84" s="91"/>
      <c r="Z84" s="93"/>
      <c r="AA84" s="91"/>
      <c r="AB84" s="93"/>
      <c r="AC84" s="95"/>
      <c r="AD84" s="92"/>
      <c r="AE84" s="153"/>
      <c r="AF84" s="165"/>
      <c r="AG84" s="166"/>
      <c r="AH84" s="166"/>
      <c r="AI84" s="166"/>
      <c r="AJ84" s="164"/>
      <c r="AK84" s="164"/>
      <c r="AL84" s="164"/>
      <c r="AM84" s="164"/>
      <c r="AN84" s="164"/>
      <c r="AO84" s="164"/>
      <c r="AP84" s="164"/>
      <c r="AQ84" s="151"/>
      <c r="AR84" s="151"/>
    </row>
    <row r="85" spans="1:44" ht="16.5" hidden="1" customHeight="1" x14ac:dyDescent="0.3">
      <c r="A85" s="238"/>
      <c r="B85" s="238"/>
      <c r="C85" s="239"/>
      <c r="D85" s="239"/>
      <c r="E85" s="240"/>
      <c r="F85" s="239"/>
      <c r="G85" s="237"/>
      <c r="H85" s="231"/>
      <c r="I85" s="230"/>
      <c r="J85" s="229"/>
      <c r="K85" s="230"/>
      <c r="L85" s="231"/>
      <c r="M85" s="230"/>
      <c r="N85" s="232"/>
      <c r="O85" s="90">
        <v>4</v>
      </c>
      <c r="P85" s="97"/>
      <c r="Q85" s="96"/>
      <c r="R85" s="92"/>
      <c r="S85" s="92"/>
      <c r="T85" s="93"/>
      <c r="U85" s="92"/>
      <c r="V85" s="92"/>
      <c r="W85" s="92"/>
      <c r="X85" s="94"/>
      <c r="Y85" s="91"/>
      <c r="Z85" s="93"/>
      <c r="AA85" s="91"/>
      <c r="AB85" s="93"/>
      <c r="AC85" s="95"/>
      <c r="AD85" s="92"/>
      <c r="AE85" s="153"/>
      <c r="AF85" s="151" t="s">
        <v>440</v>
      </c>
      <c r="AG85" s="164">
        <v>45324</v>
      </c>
      <c r="AH85" s="164">
        <v>45641</v>
      </c>
      <c r="AI85" s="164" t="s">
        <v>436</v>
      </c>
      <c r="AJ85" s="164" t="s">
        <v>433</v>
      </c>
      <c r="AK85" s="164"/>
      <c r="AL85" s="164"/>
      <c r="AM85" s="164"/>
      <c r="AN85" s="164"/>
      <c r="AO85" s="164"/>
      <c r="AP85" s="164"/>
      <c r="AQ85" s="151"/>
      <c r="AR85" s="151"/>
    </row>
    <row r="86" spans="1:44" ht="16.5" hidden="1" customHeight="1" x14ac:dyDescent="0.3">
      <c r="A86" s="238"/>
      <c r="B86" s="238"/>
      <c r="C86" s="239"/>
      <c r="D86" s="239"/>
      <c r="E86" s="240"/>
      <c r="F86" s="239"/>
      <c r="G86" s="237"/>
      <c r="H86" s="231"/>
      <c r="I86" s="230"/>
      <c r="J86" s="229"/>
      <c r="K86" s="230"/>
      <c r="L86" s="231"/>
      <c r="M86" s="230"/>
      <c r="N86" s="232"/>
      <c r="O86" s="90">
        <v>5</v>
      </c>
      <c r="P86" s="97"/>
      <c r="Q86" s="96"/>
      <c r="R86" s="92"/>
      <c r="S86" s="92"/>
      <c r="T86" s="93"/>
      <c r="U86" s="92"/>
      <c r="V86" s="92"/>
      <c r="W86" s="92"/>
      <c r="X86" s="94"/>
      <c r="Y86" s="91"/>
      <c r="Z86" s="93"/>
      <c r="AA86" s="91"/>
      <c r="AB86" s="93"/>
      <c r="AC86" s="95"/>
      <c r="AD86" s="92"/>
      <c r="AE86" s="153"/>
      <c r="AF86" s="165" t="s">
        <v>440</v>
      </c>
      <c r="AG86" s="166">
        <v>45324</v>
      </c>
      <c r="AH86" s="166">
        <v>45641</v>
      </c>
      <c r="AI86" s="164" t="s">
        <v>436</v>
      </c>
      <c r="AJ86" s="164" t="s">
        <v>433</v>
      </c>
      <c r="AK86" s="164"/>
      <c r="AL86" s="164"/>
      <c r="AM86" s="164"/>
      <c r="AN86" s="164"/>
      <c r="AO86" s="164"/>
      <c r="AP86" s="164"/>
      <c r="AQ86" s="151"/>
      <c r="AR86" s="151"/>
    </row>
    <row r="87" spans="1:44" ht="16.5" hidden="1" customHeight="1" x14ac:dyDescent="0.3">
      <c r="A87" s="238"/>
      <c r="B87" s="238"/>
      <c r="C87" s="239"/>
      <c r="D87" s="239"/>
      <c r="E87" s="240"/>
      <c r="F87" s="239"/>
      <c r="G87" s="237"/>
      <c r="H87" s="231"/>
      <c r="I87" s="230"/>
      <c r="J87" s="229"/>
      <c r="K87" s="230"/>
      <c r="L87" s="231"/>
      <c r="M87" s="230"/>
      <c r="N87" s="232"/>
      <c r="O87" s="90">
        <v>6</v>
      </c>
      <c r="P87" s="97"/>
      <c r="Q87" s="96"/>
      <c r="R87" s="92"/>
      <c r="S87" s="92"/>
      <c r="T87" s="93"/>
      <c r="U87" s="92"/>
      <c r="V87" s="92"/>
      <c r="W87" s="92"/>
      <c r="X87" s="94"/>
      <c r="Y87" s="91"/>
      <c r="Z87" s="93"/>
      <c r="AA87" s="91"/>
      <c r="AB87" s="93"/>
      <c r="AC87" s="95"/>
      <c r="AD87" s="92"/>
      <c r="AE87" s="153"/>
      <c r="AF87" s="165"/>
      <c r="AG87" s="166"/>
      <c r="AH87" s="166"/>
      <c r="AI87" s="166"/>
      <c r="AJ87" s="164"/>
      <c r="AK87" s="164"/>
      <c r="AL87" s="164"/>
      <c r="AM87" s="164"/>
      <c r="AN87" s="164"/>
      <c r="AO87" s="164"/>
      <c r="AP87" s="164"/>
      <c r="AQ87" s="151"/>
      <c r="AR87" s="151"/>
    </row>
    <row r="88" spans="1:44" ht="16.5" hidden="1" customHeight="1" x14ac:dyDescent="0.3">
      <c r="A88" s="238">
        <v>39</v>
      </c>
      <c r="B88" s="238"/>
      <c r="C88" s="239"/>
      <c r="D88" s="239"/>
      <c r="E88" s="240"/>
      <c r="F88" s="239"/>
      <c r="G88" s="237"/>
      <c r="H88" s="231"/>
      <c r="I88" s="230"/>
      <c r="J88" s="229"/>
      <c r="K88" s="230"/>
      <c r="L88" s="231"/>
      <c r="M88" s="230"/>
      <c r="N88" s="232"/>
      <c r="O88" s="90">
        <v>1</v>
      </c>
      <c r="P88" s="97"/>
      <c r="Q88" s="96"/>
      <c r="R88" s="92"/>
      <c r="S88" s="92"/>
      <c r="T88" s="93"/>
      <c r="U88" s="92"/>
      <c r="V88" s="92"/>
      <c r="W88" s="92"/>
      <c r="X88" s="94"/>
      <c r="Y88" s="91"/>
      <c r="Z88" s="93"/>
      <c r="AA88" s="91"/>
      <c r="AB88" s="93"/>
      <c r="AC88" s="95"/>
      <c r="AD88" s="92"/>
      <c r="AE88" s="153"/>
      <c r="AF88" s="165"/>
      <c r="AG88" s="166"/>
      <c r="AH88" s="166"/>
      <c r="AI88" s="166"/>
      <c r="AJ88" s="164"/>
      <c r="AK88" s="164"/>
      <c r="AL88" s="164"/>
      <c r="AM88" s="164"/>
      <c r="AN88" s="164"/>
      <c r="AO88" s="164"/>
      <c r="AP88" s="164"/>
      <c r="AQ88" s="151"/>
      <c r="AR88" s="151"/>
    </row>
    <row r="89" spans="1:44" ht="16.5" hidden="1" customHeight="1" x14ac:dyDescent="0.3">
      <c r="A89" s="238"/>
      <c r="B89" s="238"/>
      <c r="C89" s="239"/>
      <c r="D89" s="239"/>
      <c r="E89" s="240"/>
      <c r="F89" s="239"/>
      <c r="G89" s="237"/>
      <c r="H89" s="231"/>
      <c r="I89" s="230"/>
      <c r="J89" s="229"/>
      <c r="K89" s="230"/>
      <c r="L89" s="231"/>
      <c r="M89" s="230"/>
      <c r="N89" s="232"/>
      <c r="O89" s="90">
        <v>2</v>
      </c>
      <c r="P89" s="97"/>
      <c r="Q89" s="96"/>
      <c r="R89" s="92"/>
      <c r="S89" s="92"/>
      <c r="T89" s="93"/>
      <c r="U89" s="92"/>
      <c r="V89" s="92"/>
      <c r="W89" s="92"/>
      <c r="X89" s="94"/>
      <c r="Y89" s="91"/>
      <c r="Z89" s="93"/>
      <c r="AA89" s="91"/>
      <c r="AB89" s="93"/>
      <c r="AC89" s="95"/>
      <c r="AD89" s="92"/>
      <c r="AE89" s="153"/>
      <c r="AF89" s="165"/>
      <c r="AG89" s="166"/>
      <c r="AH89" s="166"/>
      <c r="AI89" s="166"/>
      <c r="AJ89" s="164"/>
      <c r="AK89" s="164"/>
      <c r="AL89" s="164"/>
      <c r="AM89" s="164"/>
      <c r="AN89" s="164"/>
      <c r="AO89" s="164"/>
      <c r="AP89" s="164"/>
      <c r="AQ89" s="151"/>
      <c r="AR89" s="151"/>
    </row>
    <row r="90" spans="1:44" ht="16.5" hidden="1" customHeight="1" x14ac:dyDescent="0.3">
      <c r="A90" s="238"/>
      <c r="B90" s="238"/>
      <c r="C90" s="239"/>
      <c r="D90" s="239"/>
      <c r="E90" s="240"/>
      <c r="F90" s="239"/>
      <c r="G90" s="237"/>
      <c r="H90" s="231"/>
      <c r="I90" s="230"/>
      <c r="J90" s="229"/>
      <c r="K90" s="230"/>
      <c r="L90" s="231"/>
      <c r="M90" s="230"/>
      <c r="N90" s="232"/>
      <c r="O90" s="90">
        <v>3</v>
      </c>
      <c r="P90" s="97"/>
      <c r="Q90" s="96"/>
      <c r="R90" s="92"/>
      <c r="S90" s="92"/>
      <c r="T90" s="93"/>
      <c r="U90" s="92"/>
      <c r="V90" s="92"/>
      <c r="W90" s="92"/>
      <c r="X90" s="94"/>
      <c r="Y90" s="91"/>
      <c r="Z90" s="93"/>
      <c r="AA90" s="91"/>
      <c r="AB90" s="93"/>
      <c r="AC90" s="95"/>
      <c r="AD90" s="92"/>
      <c r="AE90" s="153"/>
      <c r="AF90" s="165"/>
      <c r="AG90" s="166"/>
      <c r="AH90" s="166"/>
      <c r="AI90" s="166"/>
      <c r="AJ90" s="164"/>
      <c r="AK90" s="164"/>
      <c r="AL90" s="164"/>
      <c r="AM90" s="164"/>
      <c r="AN90" s="164"/>
      <c r="AO90" s="164"/>
      <c r="AP90" s="164"/>
      <c r="AQ90" s="151"/>
      <c r="AR90" s="151"/>
    </row>
    <row r="91" spans="1:44" ht="16.5" hidden="1" customHeight="1" x14ac:dyDescent="0.3">
      <c r="A91" s="238"/>
      <c r="B91" s="238"/>
      <c r="C91" s="239"/>
      <c r="D91" s="239"/>
      <c r="E91" s="240"/>
      <c r="F91" s="239"/>
      <c r="G91" s="237"/>
      <c r="H91" s="231"/>
      <c r="I91" s="230"/>
      <c r="J91" s="229"/>
      <c r="K91" s="230"/>
      <c r="L91" s="231"/>
      <c r="M91" s="230"/>
      <c r="N91" s="232"/>
      <c r="O91" s="90">
        <v>4</v>
      </c>
      <c r="P91" s="97"/>
      <c r="Q91" s="96"/>
      <c r="R91" s="92"/>
      <c r="S91" s="92"/>
      <c r="T91" s="93"/>
      <c r="U91" s="92"/>
      <c r="V91" s="92"/>
      <c r="W91" s="92"/>
      <c r="X91" s="94"/>
      <c r="Y91" s="91"/>
      <c r="Z91" s="93"/>
      <c r="AA91" s="91"/>
      <c r="AB91" s="93"/>
      <c r="AC91" s="95"/>
      <c r="AD91" s="92"/>
      <c r="AE91" s="153"/>
      <c r="AF91" s="151" t="s">
        <v>441</v>
      </c>
      <c r="AG91" s="164">
        <v>45324</v>
      </c>
      <c r="AH91" s="164">
        <v>45641</v>
      </c>
      <c r="AI91" s="164" t="s">
        <v>436</v>
      </c>
      <c r="AJ91" s="164" t="s">
        <v>433</v>
      </c>
      <c r="AK91" s="164"/>
      <c r="AL91" s="164"/>
      <c r="AM91" s="164"/>
      <c r="AN91" s="164"/>
      <c r="AO91" s="164"/>
      <c r="AP91" s="164"/>
      <c r="AQ91" s="151"/>
      <c r="AR91" s="151"/>
    </row>
    <row r="92" spans="1:44" ht="16.5" hidden="1" customHeight="1" x14ac:dyDescent="0.3">
      <c r="A92" s="238"/>
      <c r="B92" s="238"/>
      <c r="C92" s="239"/>
      <c r="D92" s="239"/>
      <c r="E92" s="240"/>
      <c r="F92" s="239"/>
      <c r="G92" s="237"/>
      <c r="H92" s="231"/>
      <c r="I92" s="230"/>
      <c r="J92" s="229"/>
      <c r="K92" s="230"/>
      <c r="L92" s="231"/>
      <c r="M92" s="230"/>
      <c r="N92" s="232"/>
      <c r="O92" s="90">
        <v>5</v>
      </c>
      <c r="P92" s="97"/>
      <c r="Q92" s="96"/>
      <c r="R92" s="92"/>
      <c r="S92" s="92"/>
      <c r="T92" s="93"/>
      <c r="U92" s="92"/>
      <c r="V92" s="92"/>
      <c r="W92" s="92"/>
      <c r="X92" s="94"/>
      <c r="Y92" s="91"/>
      <c r="Z92" s="93"/>
      <c r="AA92" s="91"/>
      <c r="AB92" s="93"/>
      <c r="AC92" s="95"/>
      <c r="AD92" s="92"/>
      <c r="AE92" s="153"/>
      <c r="AF92" s="165"/>
      <c r="AG92" s="166"/>
      <c r="AH92" s="166"/>
      <c r="AI92" s="166"/>
      <c r="AJ92" s="164"/>
      <c r="AK92" s="164"/>
      <c r="AL92" s="164"/>
      <c r="AM92" s="164"/>
      <c r="AN92" s="164"/>
      <c r="AO92" s="164"/>
      <c r="AP92" s="164"/>
      <c r="AQ92" s="151"/>
      <c r="AR92" s="151"/>
    </row>
    <row r="93" spans="1:44" ht="16.5" hidden="1" customHeight="1" x14ac:dyDescent="0.3">
      <c r="A93" s="238"/>
      <c r="B93" s="238"/>
      <c r="C93" s="239"/>
      <c r="D93" s="239"/>
      <c r="E93" s="240"/>
      <c r="F93" s="239"/>
      <c r="G93" s="237"/>
      <c r="H93" s="231"/>
      <c r="I93" s="230"/>
      <c r="J93" s="229"/>
      <c r="K93" s="230"/>
      <c r="L93" s="231"/>
      <c r="M93" s="230"/>
      <c r="N93" s="232"/>
      <c r="O93" s="90">
        <v>6</v>
      </c>
      <c r="P93" s="97"/>
      <c r="Q93" s="96"/>
      <c r="R93" s="92"/>
      <c r="S93" s="92"/>
      <c r="T93" s="93"/>
      <c r="U93" s="92"/>
      <c r="V93" s="92"/>
      <c r="W93" s="92"/>
      <c r="X93" s="94"/>
      <c r="Y93" s="91"/>
      <c r="Z93" s="93"/>
      <c r="AA93" s="91"/>
      <c r="AB93" s="93"/>
      <c r="AC93" s="95"/>
      <c r="AD93" s="92"/>
      <c r="AE93" s="153"/>
      <c r="AF93" s="165"/>
      <c r="AG93" s="166"/>
      <c r="AH93" s="166"/>
      <c r="AI93" s="166"/>
      <c r="AJ93" s="164"/>
      <c r="AK93" s="164"/>
      <c r="AL93" s="164"/>
      <c r="AM93" s="164"/>
      <c r="AN93" s="164"/>
      <c r="AO93" s="164"/>
      <c r="AP93" s="164"/>
      <c r="AQ93" s="151"/>
      <c r="AR93" s="151"/>
    </row>
    <row r="94" spans="1:44" ht="16.5" hidden="1" customHeight="1" x14ac:dyDescent="0.3">
      <c r="A94" s="238">
        <v>40</v>
      </c>
      <c r="B94" s="238"/>
      <c r="C94" s="239"/>
      <c r="D94" s="239"/>
      <c r="E94" s="240"/>
      <c r="F94" s="239"/>
      <c r="G94" s="237"/>
      <c r="H94" s="231"/>
      <c r="I94" s="230"/>
      <c r="J94" s="229"/>
      <c r="K94" s="230"/>
      <c r="L94" s="231"/>
      <c r="M94" s="230"/>
      <c r="N94" s="232"/>
      <c r="O94" s="90">
        <v>1</v>
      </c>
      <c r="P94" s="97"/>
      <c r="Q94" s="96"/>
      <c r="R94" s="92"/>
      <c r="S94" s="92"/>
      <c r="T94" s="93"/>
      <c r="U94" s="92"/>
      <c r="V94" s="92"/>
      <c r="W94" s="92"/>
      <c r="X94" s="94"/>
      <c r="Y94" s="91"/>
      <c r="Z94" s="93"/>
      <c r="AA94" s="91"/>
      <c r="AB94" s="93"/>
      <c r="AC94" s="95"/>
      <c r="AD94" s="92"/>
      <c r="AE94" s="153"/>
      <c r="AF94" s="165"/>
      <c r="AG94" s="166"/>
      <c r="AH94" s="166"/>
      <c r="AI94" s="166"/>
      <c r="AJ94" s="164"/>
      <c r="AK94" s="164"/>
      <c r="AL94" s="164"/>
      <c r="AM94" s="164"/>
      <c r="AN94" s="164"/>
      <c r="AO94" s="164"/>
      <c r="AP94" s="164"/>
      <c r="AQ94" s="151"/>
      <c r="AR94" s="151"/>
    </row>
    <row r="95" spans="1:44" ht="16.5" hidden="1" customHeight="1" x14ac:dyDescent="0.3">
      <c r="A95" s="238"/>
      <c r="B95" s="238"/>
      <c r="C95" s="239"/>
      <c r="D95" s="239"/>
      <c r="E95" s="240"/>
      <c r="F95" s="239"/>
      <c r="G95" s="237"/>
      <c r="H95" s="231"/>
      <c r="I95" s="230"/>
      <c r="J95" s="229"/>
      <c r="K95" s="230"/>
      <c r="L95" s="231"/>
      <c r="M95" s="230"/>
      <c r="N95" s="232"/>
      <c r="O95" s="90">
        <v>2</v>
      </c>
      <c r="P95" s="97"/>
      <c r="Q95" s="96"/>
      <c r="R95" s="92"/>
      <c r="S95" s="92"/>
      <c r="T95" s="93"/>
      <c r="U95" s="92"/>
      <c r="V95" s="92"/>
      <c r="W95" s="92"/>
      <c r="X95" s="94"/>
      <c r="Y95" s="91"/>
      <c r="Z95" s="93"/>
      <c r="AA95" s="91"/>
      <c r="AB95" s="93"/>
      <c r="AC95" s="95"/>
      <c r="AD95" s="92"/>
      <c r="AE95" s="153"/>
      <c r="AF95" s="165"/>
      <c r="AG95" s="166"/>
      <c r="AH95" s="166"/>
      <c r="AI95" s="166"/>
      <c r="AJ95" s="164"/>
      <c r="AK95" s="164"/>
      <c r="AL95" s="164"/>
      <c r="AM95" s="164"/>
      <c r="AN95" s="164"/>
      <c r="AO95" s="164"/>
      <c r="AP95" s="164"/>
      <c r="AQ95" s="151"/>
      <c r="AR95" s="151"/>
    </row>
    <row r="96" spans="1:44" ht="16.5" hidden="1" customHeight="1" x14ac:dyDescent="0.3">
      <c r="A96" s="238"/>
      <c r="B96" s="238"/>
      <c r="C96" s="239"/>
      <c r="D96" s="239"/>
      <c r="E96" s="240"/>
      <c r="F96" s="239"/>
      <c r="G96" s="237"/>
      <c r="H96" s="231"/>
      <c r="I96" s="230"/>
      <c r="J96" s="229"/>
      <c r="K96" s="230"/>
      <c r="L96" s="231"/>
      <c r="M96" s="230"/>
      <c r="N96" s="232"/>
      <c r="O96" s="90">
        <v>3</v>
      </c>
      <c r="P96" s="97"/>
      <c r="Q96" s="96"/>
      <c r="R96" s="92"/>
      <c r="S96" s="92"/>
      <c r="T96" s="93"/>
      <c r="U96" s="92"/>
      <c r="V96" s="92"/>
      <c r="W96" s="92"/>
      <c r="X96" s="94"/>
      <c r="Y96" s="91"/>
      <c r="Z96" s="93"/>
      <c r="AA96" s="91"/>
      <c r="AB96" s="93"/>
      <c r="AC96" s="95"/>
      <c r="AD96" s="92"/>
      <c r="AE96" s="153"/>
      <c r="AF96" s="165"/>
      <c r="AG96" s="166"/>
      <c r="AH96" s="166"/>
      <c r="AI96" s="166"/>
      <c r="AJ96" s="164"/>
      <c r="AK96" s="164"/>
      <c r="AL96" s="164"/>
      <c r="AM96" s="164"/>
      <c r="AN96" s="164"/>
      <c r="AO96" s="164"/>
      <c r="AP96" s="164"/>
      <c r="AQ96" s="151"/>
      <c r="AR96" s="151"/>
    </row>
    <row r="97" spans="1:44" ht="16.5" hidden="1" customHeight="1" x14ac:dyDescent="0.3">
      <c r="A97" s="238"/>
      <c r="B97" s="238"/>
      <c r="C97" s="239"/>
      <c r="D97" s="239"/>
      <c r="E97" s="240"/>
      <c r="F97" s="239"/>
      <c r="G97" s="237"/>
      <c r="H97" s="231"/>
      <c r="I97" s="230"/>
      <c r="J97" s="229"/>
      <c r="K97" s="230"/>
      <c r="L97" s="231"/>
      <c r="M97" s="230"/>
      <c r="N97" s="232"/>
      <c r="O97" s="90">
        <v>4</v>
      </c>
      <c r="P97" s="97"/>
      <c r="Q97" s="96"/>
      <c r="R97" s="92"/>
      <c r="S97" s="92"/>
      <c r="T97" s="93"/>
      <c r="U97" s="92"/>
      <c r="V97" s="92"/>
      <c r="W97" s="92"/>
      <c r="X97" s="94"/>
      <c r="Y97" s="91"/>
      <c r="Z97" s="93"/>
      <c r="AA97" s="91"/>
      <c r="AB97" s="93"/>
      <c r="AC97" s="95"/>
      <c r="AD97" s="92"/>
      <c r="AE97" s="153"/>
      <c r="AF97" s="151" t="s">
        <v>442</v>
      </c>
      <c r="AG97" s="164">
        <v>45324</v>
      </c>
      <c r="AH97" s="164">
        <v>45641</v>
      </c>
      <c r="AI97" s="164" t="s">
        <v>443</v>
      </c>
      <c r="AJ97" s="164" t="s">
        <v>402</v>
      </c>
      <c r="AK97" s="164"/>
      <c r="AL97" s="164"/>
      <c r="AM97" s="164"/>
      <c r="AN97" s="164"/>
      <c r="AO97" s="164"/>
      <c r="AP97" s="164"/>
      <c r="AQ97" s="151"/>
      <c r="AR97" s="151"/>
    </row>
    <row r="98" spans="1:44" ht="16.5" hidden="1" customHeight="1" x14ac:dyDescent="0.3">
      <c r="A98" s="238"/>
      <c r="B98" s="238"/>
      <c r="C98" s="239"/>
      <c r="D98" s="239"/>
      <c r="E98" s="240"/>
      <c r="F98" s="239"/>
      <c r="G98" s="237"/>
      <c r="H98" s="231"/>
      <c r="I98" s="230"/>
      <c r="J98" s="229"/>
      <c r="K98" s="230"/>
      <c r="L98" s="231"/>
      <c r="M98" s="230"/>
      <c r="N98" s="232"/>
      <c r="O98" s="90">
        <v>5</v>
      </c>
      <c r="P98" s="97"/>
      <c r="Q98" s="96"/>
      <c r="R98" s="92"/>
      <c r="S98" s="92"/>
      <c r="T98" s="93"/>
      <c r="U98" s="92"/>
      <c r="V98" s="92"/>
      <c r="W98" s="92"/>
      <c r="X98" s="94"/>
      <c r="Y98" s="91"/>
      <c r="Z98" s="93"/>
      <c r="AA98" s="91"/>
      <c r="AB98" s="93"/>
      <c r="AC98" s="95"/>
      <c r="AD98" s="92"/>
      <c r="AE98" s="153"/>
      <c r="AF98" s="165"/>
      <c r="AG98" s="166"/>
      <c r="AH98" s="166"/>
      <c r="AI98" s="166"/>
      <c r="AJ98" s="164"/>
      <c r="AK98" s="164"/>
      <c r="AL98" s="164"/>
      <c r="AM98" s="164"/>
      <c r="AN98" s="164"/>
      <c r="AO98" s="164"/>
      <c r="AP98" s="164"/>
      <c r="AQ98" s="151"/>
      <c r="AR98" s="151"/>
    </row>
    <row r="99" spans="1:44" ht="16.5" hidden="1" customHeight="1" x14ac:dyDescent="0.3">
      <c r="A99" s="238"/>
      <c r="B99" s="238"/>
      <c r="C99" s="239"/>
      <c r="D99" s="239"/>
      <c r="E99" s="240"/>
      <c r="F99" s="239"/>
      <c r="G99" s="237"/>
      <c r="H99" s="231"/>
      <c r="I99" s="230"/>
      <c r="J99" s="229"/>
      <c r="K99" s="230"/>
      <c r="L99" s="231"/>
      <c r="M99" s="230"/>
      <c r="N99" s="232"/>
      <c r="O99" s="90">
        <v>6</v>
      </c>
      <c r="P99" s="97"/>
      <c r="Q99" s="96"/>
      <c r="R99" s="92"/>
      <c r="S99" s="92"/>
      <c r="T99" s="93"/>
      <c r="U99" s="92"/>
      <c r="V99" s="92"/>
      <c r="W99" s="92"/>
      <c r="X99" s="94"/>
      <c r="Y99" s="91"/>
      <c r="Z99" s="93"/>
      <c r="AA99" s="91"/>
      <c r="AB99" s="93"/>
      <c r="AC99" s="95"/>
      <c r="AD99" s="92"/>
      <c r="AE99" s="153"/>
      <c r="AF99" s="165"/>
      <c r="AG99" s="166"/>
      <c r="AH99" s="166"/>
      <c r="AI99" s="166"/>
      <c r="AJ99" s="164"/>
      <c r="AK99" s="164"/>
      <c r="AL99" s="164"/>
      <c r="AM99" s="164"/>
      <c r="AN99" s="164"/>
      <c r="AO99" s="164"/>
      <c r="AP99" s="164"/>
      <c r="AQ99" s="151"/>
      <c r="AR99" s="151"/>
    </row>
  </sheetData>
  <dataConsolidate/>
  <mergeCells count="445">
    <mergeCell ref="AQ1:AR1"/>
    <mergeCell ref="AQ2:AR2"/>
    <mergeCell ref="AQ3:AR3"/>
    <mergeCell ref="AK4:AL4"/>
    <mergeCell ref="AM4:AN4"/>
    <mergeCell ref="AO4:AP4"/>
    <mergeCell ref="AQ4:AR4"/>
    <mergeCell ref="AG5:AG6"/>
    <mergeCell ref="AH5:AH6"/>
    <mergeCell ref="AI5:AI6"/>
    <mergeCell ref="AJ5:AJ6"/>
    <mergeCell ref="AK5:AK6"/>
    <mergeCell ref="AL5:AL6"/>
    <mergeCell ref="AM5:AM6"/>
    <mergeCell ref="AN5:AN6"/>
    <mergeCell ref="AO5:AO6"/>
    <mergeCell ref="AP5:AP6"/>
    <mergeCell ref="AQ5:AQ6"/>
    <mergeCell ref="AR5:AR6"/>
    <mergeCell ref="D1:AP3"/>
    <mergeCell ref="AE4:AJ4"/>
    <mergeCell ref="AE5:AE6"/>
    <mergeCell ref="AF5:AF6"/>
    <mergeCell ref="O4:W4"/>
    <mergeCell ref="A1:C3"/>
    <mergeCell ref="N66:N67"/>
    <mergeCell ref="K68:K69"/>
    <mergeCell ref="L68:L69"/>
    <mergeCell ref="M68:M69"/>
    <mergeCell ref="N68:N69"/>
    <mergeCell ref="N61:N62"/>
    <mergeCell ref="L66:L67"/>
    <mergeCell ref="M66:M67"/>
    <mergeCell ref="K64:K65"/>
    <mergeCell ref="N64:N65"/>
    <mergeCell ref="L64:L65"/>
    <mergeCell ref="M64:M65"/>
    <mergeCell ref="H64:H65"/>
    <mergeCell ref="H66:H67"/>
    <mergeCell ref="I66:I67"/>
    <mergeCell ref="A61:A62"/>
    <mergeCell ref="A64:A65"/>
    <mergeCell ref="A66:A67"/>
    <mergeCell ref="A68:A69"/>
    <mergeCell ref="K53:K55"/>
    <mergeCell ref="L53:L55"/>
    <mergeCell ref="K58:K59"/>
    <mergeCell ref="K61:K62"/>
    <mergeCell ref="M70:M71"/>
    <mergeCell ref="N70:N71"/>
    <mergeCell ref="K66:K67"/>
    <mergeCell ref="K70:K71"/>
    <mergeCell ref="J66:J67"/>
    <mergeCell ref="H68:H69"/>
    <mergeCell ref="I68:I69"/>
    <mergeCell ref="J68:J69"/>
    <mergeCell ref="J70:J71"/>
    <mergeCell ref="N72:N75"/>
    <mergeCell ref="D72:D75"/>
    <mergeCell ref="E61:E62"/>
    <mergeCell ref="E64:E65"/>
    <mergeCell ref="E66:E67"/>
    <mergeCell ref="E68:E69"/>
    <mergeCell ref="E70:E71"/>
    <mergeCell ref="E72:E75"/>
    <mergeCell ref="G66:G67"/>
    <mergeCell ref="G68:G69"/>
    <mergeCell ref="G70:G71"/>
    <mergeCell ref="D61:D62"/>
    <mergeCell ref="D64:D65"/>
    <mergeCell ref="D66:D67"/>
    <mergeCell ref="D68:D69"/>
    <mergeCell ref="D70:D71"/>
    <mergeCell ref="F61:F62"/>
    <mergeCell ref="F64:F65"/>
    <mergeCell ref="F66:F67"/>
    <mergeCell ref="F68:F69"/>
    <mergeCell ref="F70:F71"/>
    <mergeCell ref="L61:L62"/>
    <mergeCell ref="M61:M62"/>
    <mergeCell ref="L70:L71"/>
    <mergeCell ref="F72:F75"/>
    <mergeCell ref="G61:G62"/>
    <mergeCell ref="G64:G65"/>
    <mergeCell ref="G72:G75"/>
    <mergeCell ref="G9:G14"/>
    <mergeCell ref="H9:H14"/>
    <mergeCell ref="I9:I14"/>
    <mergeCell ref="K17:K18"/>
    <mergeCell ref="M42:M43"/>
    <mergeCell ref="J23:J25"/>
    <mergeCell ref="F23:F25"/>
    <mergeCell ref="G23:G25"/>
    <mergeCell ref="H23:H25"/>
    <mergeCell ref="I23:I25"/>
    <mergeCell ref="G30:G31"/>
    <mergeCell ref="H30:H31"/>
    <mergeCell ref="I30:I31"/>
    <mergeCell ref="J30:J31"/>
    <mergeCell ref="J32:J33"/>
    <mergeCell ref="L32:L33"/>
    <mergeCell ref="M32:M33"/>
    <mergeCell ref="G40:G41"/>
    <mergeCell ref="H40:H41"/>
    <mergeCell ref="I40:I41"/>
    <mergeCell ref="N42:N43"/>
    <mergeCell ref="M53:M55"/>
    <mergeCell ref="N53:N55"/>
    <mergeCell ref="N51:N52"/>
    <mergeCell ref="N48:N50"/>
    <mergeCell ref="N45:N46"/>
    <mergeCell ref="K21:K22"/>
    <mergeCell ref="K19:K20"/>
    <mergeCell ref="L19:L20"/>
    <mergeCell ref="M30:M31"/>
    <mergeCell ref="N30:N31"/>
    <mergeCell ref="M40:M41"/>
    <mergeCell ref="N40:N41"/>
    <mergeCell ref="M51:M52"/>
    <mergeCell ref="K51:K52"/>
    <mergeCell ref="L51:L52"/>
    <mergeCell ref="K23:K25"/>
    <mergeCell ref="L23:L25"/>
    <mergeCell ref="N19:N20"/>
    <mergeCell ref="M23:M25"/>
    <mergeCell ref="N23:N25"/>
    <mergeCell ref="K30:K31"/>
    <mergeCell ref="L30:L31"/>
    <mergeCell ref="K32:K33"/>
    <mergeCell ref="G21:G22"/>
    <mergeCell ref="M19:M20"/>
    <mergeCell ref="F9:F14"/>
    <mergeCell ref="M21:M22"/>
    <mergeCell ref="N21:N22"/>
    <mergeCell ref="C19:C20"/>
    <mergeCell ref="G15:G16"/>
    <mergeCell ref="I19:I20"/>
    <mergeCell ref="J19:J20"/>
    <mergeCell ref="H21:H22"/>
    <mergeCell ref="I21:I22"/>
    <mergeCell ref="G19:G20"/>
    <mergeCell ref="H19:H20"/>
    <mergeCell ref="H17:H18"/>
    <mergeCell ref="N9:N14"/>
    <mergeCell ref="M9:M14"/>
    <mergeCell ref="K15:K16"/>
    <mergeCell ref="J15:J16"/>
    <mergeCell ref="L15:L16"/>
    <mergeCell ref="J17:J18"/>
    <mergeCell ref="L17:L18"/>
    <mergeCell ref="M17:M18"/>
    <mergeCell ref="X4:AD4"/>
    <mergeCell ref="M15:M16"/>
    <mergeCell ref="N15:N16"/>
    <mergeCell ref="C7:C8"/>
    <mergeCell ref="D7:D8"/>
    <mergeCell ref="E7:E8"/>
    <mergeCell ref="G7:G8"/>
    <mergeCell ref="AD5:AD6"/>
    <mergeCell ref="O5:O6"/>
    <mergeCell ref="AC5:AC6"/>
    <mergeCell ref="AB5:AB6"/>
    <mergeCell ref="X5:X6"/>
    <mergeCell ref="P5:P6"/>
    <mergeCell ref="AA5:AA6"/>
    <mergeCell ref="Y5:Y6"/>
    <mergeCell ref="Z5:Z6"/>
    <mergeCell ref="K9:K14"/>
    <mergeCell ref="L9:L14"/>
    <mergeCell ref="H4:N4"/>
    <mergeCell ref="J9:J14"/>
    <mergeCell ref="H15:H16"/>
    <mergeCell ref="I15:I16"/>
    <mergeCell ref="N7:N8"/>
    <mergeCell ref="I7:I8"/>
    <mergeCell ref="A4:G4"/>
    <mergeCell ref="E23:E25"/>
    <mergeCell ref="A17:A18"/>
    <mergeCell ref="C17:C18"/>
    <mergeCell ref="D17:D18"/>
    <mergeCell ref="E17:E18"/>
    <mergeCell ref="F17:F18"/>
    <mergeCell ref="G17:G18"/>
    <mergeCell ref="E9:E14"/>
    <mergeCell ref="A7:A8"/>
    <mergeCell ref="B5:B6"/>
    <mergeCell ref="A19:A20"/>
    <mergeCell ref="A23:A25"/>
    <mergeCell ref="D19:D20"/>
    <mergeCell ref="E19:E20"/>
    <mergeCell ref="F19:F20"/>
    <mergeCell ref="A9:A14"/>
    <mergeCell ref="C9:C14"/>
    <mergeCell ref="D9:D14"/>
    <mergeCell ref="A15:A16"/>
    <mergeCell ref="C15:C16"/>
    <mergeCell ref="D15:D16"/>
    <mergeCell ref="E15:E16"/>
    <mergeCell ref="F15:F16"/>
    <mergeCell ref="Q5:Q6"/>
    <mergeCell ref="R5:W5"/>
    <mergeCell ref="J37:J38"/>
    <mergeCell ref="K37:K38"/>
    <mergeCell ref="L37:L38"/>
    <mergeCell ref="M37:M38"/>
    <mergeCell ref="N37:N38"/>
    <mergeCell ref="G37:G38"/>
    <mergeCell ref="H37:H38"/>
    <mergeCell ref="I37:I38"/>
    <mergeCell ref="N5:N6"/>
    <mergeCell ref="M5:M6"/>
    <mergeCell ref="N32:N33"/>
    <mergeCell ref="M34:M35"/>
    <mergeCell ref="N34:N35"/>
    <mergeCell ref="N17:N18"/>
    <mergeCell ref="I17:I18"/>
    <mergeCell ref="J7:J8"/>
    <mergeCell ref="L7:L8"/>
    <mergeCell ref="M7:M8"/>
    <mergeCell ref="K7:K8"/>
    <mergeCell ref="H7:H8"/>
    <mergeCell ref="J21:J22"/>
    <mergeCell ref="L21:L22"/>
    <mergeCell ref="A5:A6"/>
    <mergeCell ref="F5:F6"/>
    <mergeCell ref="E5:E6"/>
    <mergeCell ref="D5:D6"/>
    <mergeCell ref="G5:G6"/>
    <mergeCell ref="H5:H6"/>
    <mergeCell ref="I5:I6"/>
    <mergeCell ref="L5:L6"/>
    <mergeCell ref="C5:C6"/>
    <mergeCell ref="J5:J6"/>
    <mergeCell ref="K5:K6"/>
    <mergeCell ref="A21:A22"/>
    <mergeCell ref="C21:C22"/>
    <mergeCell ref="D21:D22"/>
    <mergeCell ref="J34:J35"/>
    <mergeCell ref="K34:K35"/>
    <mergeCell ref="L34:L35"/>
    <mergeCell ref="H34:H35"/>
    <mergeCell ref="I34:I35"/>
    <mergeCell ref="C34:C35"/>
    <mergeCell ref="E34:E35"/>
    <mergeCell ref="F34:F35"/>
    <mergeCell ref="F32:F33"/>
    <mergeCell ref="G32:G33"/>
    <mergeCell ref="H32:H33"/>
    <mergeCell ref="I32:I33"/>
    <mergeCell ref="G34:G35"/>
    <mergeCell ref="E21:E22"/>
    <mergeCell ref="F21:F22"/>
    <mergeCell ref="A30:A31"/>
    <mergeCell ref="C30:C31"/>
    <mergeCell ref="D30:D31"/>
    <mergeCell ref="E30:E31"/>
    <mergeCell ref="F30:F31"/>
    <mergeCell ref="B30:B31"/>
    <mergeCell ref="B42:B43"/>
    <mergeCell ref="A42:A43"/>
    <mergeCell ref="C42:C43"/>
    <mergeCell ref="D42:D43"/>
    <mergeCell ref="E42:E43"/>
    <mergeCell ref="F42:F43"/>
    <mergeCell ref="A40:A41"/>
    <mergeCell ref="C40:C41"/>
    <mergeCell ref="D40:D41"/>
    <mergeCell ref="E40:E41"/>
    <mergeCell ref="F40:F41"/>
    <mergeCell ref="B40:B41"/>
    <mergeCell ref="A37:A38"/>
    <mergeCell ref="C37:C38"/>
    <mergeCell ref="D37:D38"/>
    <mergeCell ref="E37:E38"/>
    <mergeCell ref="F37:F38"/>
    <mergeCell ref="B7:B8"/>
    <mergeCell ref="B9:B14"/>
    <mergeCell ref="B15:B16"/>
    <mergeCell ref="B17:B18"/>
    <mergeCell ref="B19:B20"/>
    <mergeCell ref="B21:B22"/>
    <mergeCell ref="B23:B25"/>
    <mergeCell ref="B37:B38"/>
    <mergeCell ref="D34:D35"/>
    <mergeCell ref="B32:B33"/>
    <mergeCell ref="A32:A33"/>
    <mergeCell ref="C32:C33"/>
    <mergeCell ref="D32:D33"/>
    <mergeCell ref="E32:E33"/>
    <mergeCell ref="A34:A35"/>
    <mergeCell ref="F7:F8"/>
    <mergeCell ref="C23:C25"/>
    <mergeCell ref="D23:D25"/>
    <mergeCell ref="B34:B35"/>
    <mergeCell ref="J42:J43"/>
    <mergeCell ref="K42:K43"/>
    <mergeCell ref="L42:L43"/>
    <mergeCell ref="G42:G43"/>
    <mergeCell ref="H42:H43"/>
    <mergeCell ref="I42:I43"/>
    <mergeCell ref="J40:J41"/>
    <mergeCell ref="K40:K41"/>
    <mergeCell ref="L40:L41"/>
    <mergeCell ref="A45:A46"/>
    <mergeCell ref="A48:A50"/>
    <mergeCell ref="B45:B46"/>
    <mergeCell ref="C45:C46"/>
    <mergeCell ref="D45:D46"/>
    <mergeCell ref="E45:E46"/>
    <mergeCell ref="B48:B50"/>
    <mergeCell ref="C48:C50"/>
    <mergeCell ref="D48:D50"/>
    <mergeCell ref="F45:F46"/>
    <mergeCell ref="G45:G46"/>
    <mergeCell ref="H45:H46"/>
    <mergeCell ref="I45:I46"/>
    <mergeCell ref="J45:J46"/>
    <mergeCell ref="K45:K46"/>
    <mergeCell ref="L45:L46"/>
    <mergeCell ref="M45:M46"/>
    <mergeCell ref="J48:J50"/>
    <mergeCell ref="K48:K50"/>
    <mergeCell ref="L48:L50"/>
    <mergeCell ref="M48:M50"/>
    <mergeCell ref="A51:A52"/>
    <mergeCell ref="J51:J52"/>
    <mergeCell ref="D53:D55"/>
    <mergeCell ref="E53:E55"/>
    <mergeCell ref="F53:F55"/>
    <mergeCell ref="F48:F50"/>
    <mergeCell ref="G48:G50"/>
    <mergeCell ref="H48:H50"/>
    <mergeCell ref="I48:I50"/>
    <mergeCell ref="E48:E50"/>
    <mergeCell ref="G51:G52"/>
    <mergeCell ref="H51:H52"/>
    <mergeCell ref="I51:I52"/>
    <mergeCell ref="A53:A55"/>
    <mergeCell ref="G53:G55"/>
    <mergeCell ref="H53:H55"/>
    <mergeCell ref="I53:I55"/>
    <mergeCell ref="B53:B55"/>
    <mergeCell ref="C53:C55"/>
    <mergeCell ref="B51:B52"/>
    <mergeCell ref="C51:C52"/>
    <mergeCell ref="D51:D52"/>
    <mergeCell ref="E51:E52"/>
    <mergeCell ref="F51:F52"/>
    <mergeCell ref="J53:J55"/>
    <mergeCell ref="H58:H59"/>
    <mergeCell ref="I58:I59"/>
    <mergeCell ref="J58:J59"/>
    <mergeCell ref="A58:A59"/>
    <mergeCell ref="B58:B59"/>
    <mergeCell ref="C58:C59"/>
    <mergeCell ref="D58:D59"/>
    <mergeCell ref="E58:E59"/>
    <mergeCell ref="F58:F59"/>
    <mergeCell ref="G58:G59"/>
    <mergeCell ref="A72:A75"/>
    <mergeCell ref="B61:B62"/>
    <mergeCell ref="B64:B65"/>
    <mergeCell ref="B66:B67"/>
    <mergeCell ref="B68:B69"/>
    <mergeCell ref="B70:B71"/>
    <mergeCell ref="B72:B75"/>
    <mergeCell ref="C61:C62"/>
    <mergeCell ref="C64:C65"/>
    <mergeCell ref="C66:C67"/>
    <mergeCell ref="C68:C69"/>
    <mergeCell ref="C70:C71"/>
    <mergeCell ref="C72:C75"/>
    <mergeCell ref="A70:A71"/>
    <mergeCell ref="A82:A87"/>
    <mergeCell ref="A88:A93"/>
    <mergeCell ref="A94:A99"/>
    <mergeCell ref="B76:B81"/>
    <mergeCell ref="C76:C81"/>
    <mergeCell ref="D76:D81"/>
    <mergeCell ref="E76:E81"/>
    <mergeCell ref="F76:F81"/>
    <mergeCell ref="B88:B93"/>
    <mergeCell ref="C88:C93"/>
    <mergeCell ref="D88:D93"/>
    <mergeCell ref="E88:E93"/>
    <mergeCell ref="F88:F93"/>
    <mergeCell ref="B82:B87"/>
    <mergeCell ref="C82:C87"/>
    <mergeCell ref="D82:D87"/>
    <mergeCell ref="E82:E87"/>
    <mergeCell ref="F82:F87"/>
    <mergeCell ref="B94:B99"/>
    <mergeCell ref="C94:C99"/>
    <mergeCell ref="D94:D99"/>
    <mergeCell ref="E94:E99"/>
    <mergeCell ref="F94:F99"/>
    <mergeCell ref="A76:A81"/>
    <mergeCell ref="K94:K99"/>
    <mergeCell ref="L94:L99"/>
    <mergeCell ref="M94:M99"/>
    <mergeCell ref="N94:N99"/>
    <mergeCell ref="G76:G81"/>
    <mergeCell ref="H76:H81"/>
    <mergeCell ref="I76:I81"/>
    <mergeCell ref="J76:J81"/>
    <mergeCell ref="K76:K81"/>
    <mergeCell ref="L76:L81"/>
    <mergeCell ref="M76:M81"/>
    <mergeCell ref="N76:N81"/>
    <mergeCell ref="K82:K87"/>
    <mergeCell ref="L82:L87"/>
    <mergeCell ref="M82:M87"/>
    <mergeCell ref="N82:N87"/>
    <mergeCell ref="G94:G99"/>
    <mergeCell ref="H94:H99"/>
    <mergeCell ref="I94:I99"/>
    <mergeCell ref="J94:J99"/>
    <mergeCell ref="G88:G93"/>
    <mergeCell ref="G82:G87"/>
    <mergeCell ref="H88:H93"/>
    <mergeCell ref="I88:I93"/>
    <mergeCell ref="J88:J93"/>
    <mergeCell ref="K88:K93"/>
    <mergeCell ref="L88:L93"/>
    <mergeCell ref="M88:M93"/>
    <mergeCell ref="N88:N93"/>
    <mergeCell ref="L58:L59"/>
    <mergeCell ref="M58:M59"/>
    <mergeCell ref="N58:N59"/>
    <mergeCell ref="H82:H87"/>
    <mergeCell ref="I82:I87"/>
    <mergeCell ref="J82:J87"/>
    <mergeCell ref="H70:H71"/>
    <mergeCell ref="I70:I71"/>
    <mergeCell ref="H72:H75"/>
    <mergeCell ref="I72:I75"/>
    <mergeCell ref="J72:J75"/>
    <mergeCell ref="H61:H62"/>
    <mergeCell ref="I61:I62"/>
    <mergeCell ref="J61:J62"/>
    <mergeCell ref="I64:I65"/>
    <mergeCell ref="J64:J65"/>
    <mergeCell ref="K72:K75"/>
    <mergeCell ref="L72:L75"/>
    <mergeCell ref="M72:M75"/>
  </mergeCells>
  <phoneticPr fontId="59" type="noConversion"/>
  <conditionalFormatting sqref="H7 H9 H15 H17 H19 H21 H23 H26:H30 H32 H34 H36:H37 H39:H40 H42 H44:H45 H47:H48 H51 H53 H56:H58 H60:H61 H63:H64 H66 H68 H70 H72 H76 H82 H88 H94 Y7:Y99">
    <cfRule type="cellIs" dxfId="14" priority="835" operator="equal">
      <formula>"Muy Alta"</formula>
    </cfRule>
    <cfRule type="cellIs" dxfId="13" priority="836" operator="equal">
      <formula>"Alta"</formula>
    </cfRule>
    <cfRule type="cellIs" dxfId="12" priority="837" operator="equal">
      <formula>"Media"</formula>
    </cfRule>
    <cfRule type="cellIs" dxfId="11" priority="838" operator="equal">
      <formula>"Baja"</formula>
    </cfRule>
    <cfRule type="cellIs" dxfId="10" priority="839" operator="equal">
      <formula>"Muy Baja"</formula>
    </cfRule>
  </conditionalFormatting>
  <conditionalFormatting sqref="K7:K99">
    <cfRule type="containsText" dxfId="9" priority="517" operator="containsText" text="❌">
      <formula>NOT(ISERROR(SEARCH("❌",K7)))</formula>
    </cfRule>
  </conditionalFormatting>
  <conditionalFormatting sqref="L7 L9 L15 L17 L19 L21 L23 L26:L30 L32 L34 L36:L37 L39:L40 L42 L44:L45 L47:L48 L51 L53 L56:L58 L60:L61 L63:L64 L66 L68 L70 L72 L76 L82 L88 L94 AA7:AA99">
    <cfRule type="cellIs" dxfId="8" priority="830" operator="equal">
      <formula>"Catastrófico"</formula>
    </cfRule>
    <cfRule type="cellIs" dxfId="7" priority="831" operator="equal">
      <formula>"Mayor"</formula>
    </cfRule>
    <cfRule type="cellIs" dxfId="6" priority="832" operator="equal">
      <formula>"Moderado"</formula>
    </cfRule>
    <cfRule type="cellIs" dxfId="5" priority="833" operator="equal">
      <formula>"Menor"</formula>
    </cfRule>
    <cfRule type="cellIs" dxfId="4" priority="834" operator="equal">
      <formula>"Leve"</formula>
    </cfRule>
  </conditionalFormatting>
  <conditionalFormatting sqref="N7 N9 N15 N17 N19 N21 N23 N26:N30 N32 N34 N36:N37 N39:N40 N42 N44:N45 N47:N48 N51 N53 N56:N58 N60:N61 N63:N64 N66 N68 N70 N72 N76 N82 N88 N94 AC7:AC99">
    <cfRule type="cellIs" dxfId="3" priority="826" operator="equal">
      <formula>"Extremo"</formula>
    </cfRule>
    <cfRule type="cellIs" dxfId="2" priority="827" operator="equal">
      <formula>"Alto"</formula>
    </cfRule>
    <cfRule type="cellIs" dxfId="1" priority="828" operator="equal">
      <formula>"Moderado"</formula>
    </cfRule>
    <cfRule type="cellIs" dxfId="0" priority="829"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2">
        <x14:dataValidation type="custom" allowBlank="1" showInputMessage="1" showErrorMessage="1" error="Recuerde que las acciones se generan bajo la medida de mitigar el riesgo" xr:uid="{E55AAD6F-459B-4944-AFF6-8EA2AA0CC17C}">
          <x14:formula1>
            <xm:f>IF(OR(AD8='E:\[Matriz de riesgos de corrupcion 3-03-2024.xlsx]Opciones Tratamiento'!#REF!,AD8='E:\[Matriz de riesgos de corrupcion 3-03-2024.xlsx]Opciones Tratamiento'!#REF!,AD8='E:\[Matriz de riesgos de corrupcion 3-03-2024.xlsx]Opciones Tratamiento'!#REF!),ISBLANK(AD8),ISTEXT(AD8))</xm:f>
          </x14:formula1>
          <xm:sqref>AE98:AE99 AE80:AE84 AE86:AE90 AE92:AE96 AE8:AE14 AE17 AE22:AE26 AE33 AE38 AE41 AE43 AE46 AE59 AE63 AE65 AE76:AE78 AE67:AE74 AE30:AE31</xm:sqref>
        </x14:dataValidation>
        <x14:dataValidation type="custom" allowBlank="1" showInputMessage="1" showErrorMessage="1" error="Recuerde que las acciones se generan bajo la medida de mitigar el riesgo" xr:uid="{1E425A65-DD97-4997-82A4-0E13FDA61FD0}">
          <x14:formula1>
            <xm:f>IF(OR(AD66='E:\[Matriz de riesgos de corrupcion 3-03-2024.xlsx]Opciones Tratamiento'!#REF!,AD66='E:\[Matriz de riesgos de corrupcion 3-03-2024.xlsx]Opciones Tratamiento'!#REF!,AD66='E:\[Matriz de riesgos de corrupcion 3-03-2024.xlsx]Opciones Tratamiento'!#REF!),ISBLANK(AD66),ISTEXT(AD66))</xm:f>
          </x14:formula1>
          <xm:sqref>AE64</xm:sqref>
        </x14:dataValidation>
        <x14:dataValidation type="custom" allowBlank="1" showInputMessage="1" showErrorMessage="1" error="Recuerde que las acciones se generan bajo la medida de mitigar el riesgo" xr:uid="{97838F8F-D03B-4F88-8FEE-C096CCAC8287}">
          <x14:formula1>
            <xm:f>IF(OR(#REF!='E:\[Matriz de riesgos de corrupcion 3-03-2024.xlsx]Opciones Tratamiento'!#REF!,#REF!='E:\[Matriz de riesgos de corrupcion 3-03-2024.xlsx]Opciones Tratamiento'!#REF!,#REF!='E:\[Matriz de riesgos de corrupcion 3-03-2024.xlsx]Opciones Tratamiento'!#REF!),ISBLANK(#REF!),ISTEXT(#REF!))</xm:f>
          </x14:formula1>
          <xm:sqref>AE62</xm:sqref>
        </x14:dataValidation>
        <x14:dataValidation type="list" allowBlank="1" showInputMessage="1" showErrorMessage="1" xr:uid="{40E5C6D8-6F19-4D25-B4FD-2ADFF6192D5C}">
          <x14:formula1>
            <xm:f>'Tabla Valoración controles'!$D$4:$D$6</xm:f>
          </x14:formula1>
          <xm:sqref>R7:R99</xm:sqref>
        </x14:dataValidation>
        <x14:dataValidation type="list" allowBlank="1" showInputMessage="1" showErrorMessage="1" xr:uid="{10B07130-BE1B-4E1B-828A-1E93297EAF10}">
          <x14:formula1>
            <xm:f>'Tabla Valoración controles'!$D$7:$D$8</xm:f>
          </x14:formula1>
          <xm:sqref>S7:S99</xm:sqref>
        </x14:dataValidation>
        <x14:dataValidation type="list" allowBlank="1" showInputMessage="1" showErrorMessage="1" xr:uid="{DBDB5B83-42BF-498B-8A98-67D91B84BCF9}">
          <x14:formula1>
            <xm:f>'Tabla Valoración controles'!$D$9:$D$10</xm:f>
          </x14:formula1>
          <xm:sqref>U7:U99</xm:sqref>
        </x14:dataValidation>
        <x14:dataValidation type="list" allowBlank="1" showInputMessage="1" showErrorMessage="1" xr:uid="{BCE5177B-3854-4AE8-9AFF-90C469972F55}">
          <x14:formula1>
            <xm:f>'Tabla Valoración controles'!$D$11:$D$12</xm:f>
          </x14:formula1>
          <xm:sqref>V7:V99</xm:sqref>
        </x14:dataValidation>
        <x14:dataValidation type="list" allowBlank="1" showInputMessage="1" showErrorMessage="1" xr:uid="{62837E66-9BAD-4FE8-A15B-1A1801101C95}">
          <x14:formula1>
            <xm:f>'Tabla Valoración controles'!$D$13:$D$14</xm:f>
          </x14:formula1>
          <xm:sqref>W7:W99</xm:sqref>
        </x14:dataValidation>
        <x14:dataValidation type="list" allowBlank="1" showInputMessage="1" showErrorMessage="1" xr:uid="{6F4A9DAB-74D8-4482-B1E2-515EFF871053}">
          <x14:formula1>
            <xm:f>'Opciones Tratamiento'!$B$2:$B$5</xm:f>
          </x14:formula1>
          <xm:sqref>AD7:AD99</xm:sqref>
        </x14:dataValidation>
        <x14:dataValidation type="list" allowBlank="1" showInputMessage="1" showErrorMessage="1" xr:uid="{01E9EDF4-FED9-486E-A6C2-41E2CCFA4073}">
          <x14:formula1>
            <xm:f>'Opciones Tratamiento'!$B$13:$B$19</xm:f>
          </x14:formula1>
          <xm:sqref>F7:F99</xm:sqref>
        </x14:dataValidation>
        <x14:dataValidation type="list" allowBlank="1" showInputMessage="1" showErrorMessage="1" xr:uid="{098427E9-015D-4AB6-A3CD-5DCDD3427E0F}">
          <x14:formula1>
            <xm:f>'Opciones Tratamiento'!$E$2:$E$4</xm:f>
          </x14:formula1>
          <xm:sqref>C7:C99</xm:sqref>
        </x14:dataValidation>
        <x14:dataValidation type="list" allowBlank="1" showInputMessage="1" showErrorMessage="1" xr:uid="{D1E1E32B-C855-4E0D-8566-C67E6B09439C}">
          <x14:formula1>
            <xm:f>'Tabla Impacto'!$F$210:$F$221</xm:f>
          </x14:formula1>
          <xm:sqref>J7:J99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2712E-8948-472A-B910-D6D35F684ECA}">
  <dimension ref="A1:CQ128"/>
  <sheetViews>
    <sheetView showGridLines="0" topLeftCell="A13" zoomScale="50" zoomScaleNormal="50" workbookViewId="0">
      <selection activeCell="K42" sqref="K42"/>
    </sheetView>
  </sheetViews>
  <sheetFormatPr baseColWidth="10" defaultColWidth="6.5703125" defaultRowHeight="15" x14ac:dyDescent="0.25"/>
  <sheetData>
    <row r="1" spans="1:95"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row>
    <row r="2" spans="1:95" x14ac:dyDescent="0.25">
      <c r="A2" s="38"/>
      <c r="B2" s="292" t="s">
        <v>79</v>
      </c>
      <c r="C2" s="292"/>
      <c r="D2" s="292"/>
      <c r="E2" s="292"/>
      <c r="F2" s="292"/>
      <c r="G2" s="292"/>
      <c r="H2" s="292"/>
      <c r="I2" s="292"/>
      <c r="J2" s="293" t="s">
        <v>12</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293"/>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row>
    <row r="3" spans="1:95" x14ac:dyDescent="0.25">
      <c r="A3" s="38"/>
      <c r="B3" s="292"/>
      <c r="C3" s="292"/>
      <c r="D3" s="292"/>
      <c r="E3" s="292"/>
      <c r="F3" s="292"/>
      <c r="G3" s="292"/>
      <c r="H3" s="292"/>
      <c r="I3" s="292"/>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row>
    <row r="4" spans="1:95" x14ac:dyDescent="0.25">
      <c r="A4" s="38"/>
      <c r="B4" s="292"/>
      <c r="C4" s="292"/>
      <c r="D4" s="292"/>
      <c r="E4" s="292"/>
      <c r="F4" s="292"/>
      <c r="G4" s="292"/>
      <c r="H4" s="292"/>
      <c r="I4" s="292"/>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row>
    <row r="5" spans="1:95" ht="15.75" thickBot="1" x14ac:dyDescent="0.3">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row>
    <row r="6" spans="1:95" ht="18.75" x14ac:dyDescent="0.3">
      <c r="A6" s="38"/>
      <c r="B6" s="294" t="s">
        <v>80</v>
      </c>
      <c r="C6" s="294"/>
      <c r="D6" s="295"/>
      <c r="E6" s="296" t="s">
        <v>81</v>
      </c>
      <c r="F6" s="297"/>
      <c r="G6" s="297"/>
      <c r="H6" s="297"/>
      <c r="I6" s="297"/>
      <c r="J6" s="106" t="str">
        <f ca="1">+IF(AND('Mapa de Riesgos'!$H$7="Muy Alta",'Mapa de Riesgos'!$L$7="Leve"),CONCATENATE("R",'Mapa de Riesgos'!$A$7),"")</f>
        <v/>
      </c>
      <c r="K6" s="107" t="str">
        <f ca="1">+IF(AND('Mapa de Riesgos'!$H$27="Muy Alta",'Mapa de Riesgos'!$L$27="Leve"),CONCATENATE("R",'Mapa de Riesgos'!$A$27),"")</f>
        <v/>
      </c>
      <c r="L6" s="107" t="str">
        <f ca="1">+IF(AND('Mapa de Riesgos'!$H$39="Muy Alta",'Mapa de Riesgos'!$L$39="Leve"),CONCATENATE("R",'Mapa de Riesgos'!$A$39),"")</f>
        <v/>
      </c>
      <c r="M6" s="107" t="str">
        <f ca="1">+IF(AND('Mapa de Riesgos'!$H$53="Muy Alta",'Mapa de Riesgos'!$L$53="Leve"),CONCATENATE("R",'Mapa de Riesgos'!$A$53),"")</f>
        <v/>
      </c>
      <c r="N6" s="107" t="str">
        <f ca="1">+IF(AND('Mapa de Riesgos'!$H$66="Muy Alta",'Mapa de Riesgos'!$L$66="Leve"),CONCATENATE("R",'Mapa de Riesgos'!$A$66),"")</f>
        <v/>
      </c>
      <c r="O6" s="106" t="str">
        <f ca="1">+IF(AND('Mapa de Riesgos'!$H$7="Muy Alta",'Mapa de Riesgos'!$L$7="Menor"),CONCATENATE("R",'Mapa de Riesgos'!$A$7),"")</f>
        <v/>
      </c>
      <c r="P6" s="107" t="str">
        <f ca="1">+IF(AND('Mapa de Riesgos'!$H$27="Muy Alta",'Mapa de Riesgos'!$L$27="Menor"),CONCATENATE("R",'Mapa de Riesgos'!$A$27),"")</f>
        <v/>
      </c>
      <c r="Q6" s="107" t="str">
        <f ca="1">+IF(AND('Mapa de Riesgos'!$H$39="Muy Alta",'Mapa de Riesgos'!$L$39="Menor"),CONCATENATE("R",'Mapa de Riesgos'!$A$39),"")</f>
        <v/>
      </c>
      <c r="R6" s="107" t="str">
        <f ca="1">+IF(AND('Mapa de Riesgos'!$H$53="Muy Alta",'Mapa de Riesgos'!$L$53="Menor"),CONCATENATE("R",'Mapa de Riesgos'!$A$53),"")</f>
        <v/>
      </c>
      <c r="S6" s="107" t="str">
        <f ca="1">+IF(AND('Mapa de Riesgos'!$H$66="Muy Alta",'Mapa de Riesgos'!$L$66="Menor"),CONCATENATE("R",'Mapa de Riesgos'!$A$66),"")</f>
        <v/>
      </c>
      <c r="T6" s="106" t="str">
        <f ca="1">+IF(AND('Mapa de Riesgos'!$H$7="Muy Alta",'Mapa de Riesgos'!$L$7="Moderado"),CONCATENATE("R",'Mapa de Riesgos'!$A$7),"")</f>
        <v/>
      </c>
      <c r="U6" s="107" t="str">
        <f ca="1">+IF(AND('Mapa de Riesgos'!$H$27="Muy Alta",'Mapa de Riesgos'!$L$27="Moderado"),CONCATENATE("R",'Mapa de Riesgos'!$A$27),"")</f>
        <v/>
      </c>
      <c r="V6" s="107" t="str">
        <f ca="1">+IF(AND('Mapa de Riesgos'!$H$39="Muy Alta",'Mapa de Riesgos'!$L$39="Moderado"),CONCATENATE("R",'Mapa de Riesgos'!$A$39),"")</f>
        <v/>
      </c>
      <c r="W6" s="107" t="str">
        <f ca="1">+IF(AND('Mapa de Riesgos'!$H$53="Muy Alta",'Mapa de Riesgos'!$L$53="Moderado"),CONCATENATE("R",'Mapa de Riesgos'!$A$53),"")</f>
        <v/>
      </c>
      <c r="X6" s="107" t="str">
        <f ca="1">+IF(AND('Mapa de Riesgos'!$H$66="Muy Alta",'Mapa de Riesgos'!$L$66="Moderado"),CONCATENATE("R",'Mapa de Riesgos'!$A$66),"")</f>
        <v/>
      </c>
      <c r="Y6" s="106" t="str">
        <f ca="1">+IF(AND('Mapa de Riesgos'!$H$7="Muy Alta",'Mapa de Riesgos'!$L$7="Mayor"),CONCATENATE("R",'Mapa de Riesgos'!$A$7),"")</f>
        <v/>
      </c>
      <c r="Z6" s="107" t="str">
        <f ca="1">+IF(AND('Mapa de Riesgos'!$H$27="Muy Alta",'Mapa de Riesgos'!$L$27="Mayor"),CONCATENATE("R",'Mapa de Riesgos'!$A$27),"")</f>
        <v/>
      </c>
      <c r="AA6" s="107" t="str">
        <f ca="1">+IF(AND('Mapa de Riesgos'!$H$39="Muy Alta",'Mapa de Riesgos'!$L$39="Mayor"),CONCATENATE("R",'Mapa de Riesgos'!$A$39),"")</f>
        <v/>
      </c>
      <c r="AB6" s="107" t="str">
        <f ca="1">+IF(AND('Mapa de Riesgos'!$H$53="Muy Alta",'Mapa de Riesgos'!$L$53="Mayor"),CONCATENATE("R",'Mapa de Riesgos'!$A$53),"")</f>
        <v/>
      </c>
      <c r="AC6" s="107" t="str">
        <f ca="1">+IF(AND('Mapa de Riesgos'!$H$66="Muy Alta",'Mapa de Riesgos'!$L$66="Mayor"),CONCATENATE("R",'Mapa de Riesgos'!$A$66),"")</f>
        <v/>
      </c>
      <c r="AD6" s="132" t="str">
        <f ca="1">+IF(AND('Mapa de Riesgos'!$H$7="Muy Alta",'Mapa de Riesgos'!$L$7="Catastrófico"),CONCATENATE("R",'Mapa de Riesgos'!$A$7),"")</f>
        <v/>
      </c>
      <c r="AE6" s="127" t="str">
        <f ca="1">+IF(AND('Mapa de Riesgos'!$H$27="Muy Alta",'Mapa de Riesgos'!$L$27="Catastrófico"),CONCATENATE("R",'Mapa de Riesgos'!$A$27),"")</f>
        <v/>
      </c>
      <c r="AF6" s="127" t="str">
        <f ca="1">+IF(AND('Mapa de Riesgos'!$H$39="Muy Alta",'Mapa de Riesgos'!$L$39="Catastrófico"),CONCATENATE("R",'Mapa de Riesgos'!$A$39),"")</f>
        <v/>
      </c>
      <c r="AG6" s="127" t="str">
        <f ca="1">+IF(AND('Mapa de Riesgos'!$H$53="Muy Alta",'Mapa de Riesgos'!$L$53="Catastrófico"),CONCATENATE("R",'Mapa de Riesgos'!$A$53),"")</f>
        <v/>
      </c>
      <c r="AH6" s="128" t="str">
        <f ca="1">+IF(AND('Mapa de Riesgos'!$H$66="Muy Alta",'Mapa de Riesgos'!$L$66="Catastrófico"),CONCATENATE("R",'Mapa de Riesgos'!$A$66),"")</f>
        <v/>
      </c>
      <c r="AI6" s="100"/>
      <c r="AK6" s="302" t="s">
        <v>82</v>
      </c>
      <c r="AL6" s="303"/>
      <c r="AM6" s="303"/>
      <c r="AN6" s="303"/>
      <c r="AO6" s="303"/>
      <c r="AP6" s="304"/>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row>
    <row r="7" spans="1:95" ht="18.75" x14ac:dyDescent="0.3">
      <c r="A7" s="38"/>
      <c r="B7" s="294"/>
      <c r="C7" s="294"/>
      <c r="D7" s="295"/>
      <c r="E7" s="298"/>
      <c r="F7" s="299"/>
      <c r="G7" s="299"/>
      <c r="H7" s="299"/>
      <c r="I7" s="299"/>
      <c r="J7" s="109" t="str">
        <f ca="1">+IF(AND('Mapa de Riesgos'!$H$9="Muy Alta",'Mapa de Riesgos'!$L$9="Leve"),CONCATENATE("R",'Mapa de Riesgos'!$A$9),"")</f>
        <v/>
      </c>
      <c r="K7" s="102" t="str">
        <f ca="1">+IF(AND('Mapa de Riesgos'!$H$28="Muy Alta",'Mapa de Riesgos'!$L$28="Leve"),CONCATENATE("R",'Mapa de Riesgos'!$A$28),"")</f>
        <v/>
      </c>
      <c r="L7" s="102" t="str">
        <f ca="1">+IF(AND('Mapa de Riesgos'!$H$40="Muy Alta",'Mapa de Riesgos'!$L$40="Leve"),CONCATENATE("R",'Mapa de Riesgos'!$A$40),"")</f>
        <v/>
      </c>
      <c r="M7" s="102" t="str">
        <f ca="1">+IF(AND('Mapa de Riesgos'!$H$56="Muy Alta",'Mapa de Riesgos'!$L$56="Leve"),CONCATENATE("R",'Mapa de Riesgos'!$A$56),"")</f>
        <v/>
      </c>
      <c r="N7" s="102" t="str">
        <f ca="1">+IF(AND('Mapa de Riesgos'!$H$68="Muy Alta",'Mapa de Riesgos'!$L$68="Leve"),CONCATENATE("R",'Mapa de Riesgos'!$A$68),"")</f>
        <v/>
      </c>
      <c r="O7" s="109" t="str">
        <f ca="1">+IF(AND('Mapa de Riesgos'!$H$9="Muy Alta",'Mapa de Riesgos'!$L$9="Menor"),CONCATENATE("R",'Mapa de Riesgos'!$A$9),"")</f>
        <v/>
      </c>
      <c r="P7" s="102" t="str">
        <f ca="1">+IF(AND('Mapa de Riesgos'!$H$28="Muy Alta",'Mapa de Riesgos'!$L$28="Menor"),CONCATENATE("R",'Mapa de Riesgos'!$A$28),"")</f>
        <v/>
      </c>
      <c r="Q7" s="102" t="str">
        <f ca="1">+IF(AND('Mapa de Riesgos'!$H$40="Muy Alta",'Mapa de Riesgos'!$L$40="Menor"),CONCATENATE("R",'Mapa de Riesgos'!$A$40),"")</f>
        <v/>
      </c>
      <c r="R7" s="102" t="str">
        <f ca="1">+IF(AND('Mapa de Riesgos'!$H$56="Muy Alta",'Mapa de Riesgos'!$L$56="Menor"),CONCATENATE("R",'Mapa de Riesgos'!$A$56),"")</f>
        <v/>
      </c>
      <c r="S7" s="102" t="str">
        <f ca="1">+IF(AND('Mapa de Riesgos'!$H$68="Muy Alta",'Mapa de Riesgos'!$L$68="Menor"),CONCATENATE("R",'Mapa de Riesgos'!$A$68),"")</f>
        <v/>
      </c>
      <c r="T7" s="109" t="str">
        <f ca="1">+IF(AND('Mapa de Riesgos'!$H$9="Muy Alta",'Mapa de Riesgos'!$L$9="Moderado"),CONCATENATE("R",'Mapa de Riesgos'!$A$9),"")</f>
        <v/>
      </c>
      <c r="U7" s="102" t="str">
        <f ca="1">+IF(AND('Mapa de Riesgos'!$H$28="Muy Alta",'Mapa de Riesgos'!$L$28="Moderado"),CONCATENATE("R",'Mapa de Riesgos'!$A$28),"")</f>
        <v/>
      </c>
      <c r="V7" s="102" t="str">
        <f ca="1">+IF(AND('Mapa de Riesgos'!$H$40="Muy Alta",'Mapa de Riesgos'!$L$40="Moderado"),CONCATENATE("R",'Mapa de Riesgos'!$A$40),"")</f>
        <v/>
      </c>
      <c r="W7" s="102" t="str">
        <f ca="1">+IF(AND('Mapa de Riesgos'!$H$56="Muy Alta",'Mapa de Riesgos'!$L$56="Moderado"),CONCATENATE("R",'Mapa de Riesgos'!$A$56),"")</f>
        <v/>
      </c>
      <c r="X7" s="102" t="str">
        <f ca="1">+IF(AND('Mapa de Riesgos'!$H$68="Muy Alta",'Mapa de Riesgos'!$L$68="Moderado"),CONCATENATE("R",'Mapa de Riesgos'!$A$68),"")</f>
        <v/>
      </c>
      <c r="Y7" s="109" t="str">
        <f ca="1">+IF(AND('Mapa de Riesgos'!$H$9="Muy Alta",'Mapa de Riesgos'!$L$9="Mayor"),CONCATENATE("R",'Mapa de Riesgos'!$A$9),"")</f>
        <v/>
      </c>
      <c r="Z7" s="102" t="str">
        <f ca="1">+IF(AND('Mapa de Riesgos'!$H$28="Muy Alta",'Mapa de Riesgos'!$L$28="Mayor"),CONCATENATE("R",'Mapa de Riesgos'!$A$28),"")</f>
        <v/>
      </c>
      <c r="AA7" s="102" t="str">
        <f ca="1">+IF(AND('Mapa de Riesgos'!$H$40="Muy Alta",'Mapa de Riesgos'!$L$40="Mayor"),CONCATENATE("R",'Mapa de Riesgos'!$A$40),"")</f>
        <v/>
      </c>
      <c r="AB7" s="102" t="str">
        <f ca="1">+IF(AND('Mapa de Riesgos'!$H$56="Muy Alta",'Mapa de Riesgos'!$L$56="Mayor"),CONCATENATE("R",'Mapa de Riesgos'!$A$56),"")</f>
        <v/>
      </c>
      <c r="AC7" s="102" t="str">
        <f ca="1">+IF(AND('Mapa de Riesgos'!$H$68="Muy Alta",'Mapa de Riesgos'!$L$68="Mayor"),CONCATENATE("R",'Mapa de Riesgos'!$A$68),"")</f>
        <v/>
      </c>
      <c r="AD7" s="133" t="str">
        <f ca="1">+IF(AND('Mapa de Riesgos'!$H$9="Muy Alta",'Mapa de Riesgos'!$L$9="Catastrófico"),CONCATENATE("R",'Mapa de Riesgos'!$A$9),"")</f>
        <v/>
      </c>
      <c r="AE7" s="103" t="str">
        <f ca="1">+IF(AND('Mapa de Riesgos'!$H$28="Muy Alta",'Mapa de Riesgos'!$L$28="Catastrófico"),CONCATENATE("R",'Mapa de Riesgos'!$A$28),"")</f>
        <v/>
      </c>
      <c r="AF7" s="103" t="str">
        <f ca="1">+IF(AND('Mapa de Riesgos'!$H$40="Muy Alta",'Mapa de Riesgos'!$L$40="Catastrófico"),CONCATENATE("R",'Mapa de Riesgos'!$A$40),"")</f>
        <v/>
      </c>
      <c r="AG7" s="103" t="str">
        <f ca="1">+IF(AND('Mapa de Riesgos'!$H$56="Muy Alta",'Mapa de Riesgos'!$L$56="Catastrófico"),CONCATENATE("R",'Mapa de Riesgos'!$A$56),"")</f>
        <v/>
      </c>
      <c r="AH7" s="129" t="str">
        <f ca="1">+IF(AND('Mapa de Riesgos'!$H$68="Muy Alta",'Mapa de Riesgos'!$L$68="Catastrófico"),CONCATENATE("R",'Mapa de Riesgos'!$A$68),"")</f>
        <v/>
      </c>
      <c r="AI7" s="100"/>
      <c r="AJ7" s="38"/>
      <c r="AK7" s="305"/>
      <c r="AL7" s="306"/>
      <c r="AM7" s="306"/>
      <c r="AN7" s="306"/>
      <c r="AO7" s="306"/>
      <c r="AP7" s="307"/>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row>
    <row r="8" spans="1:95" ht="18.75" x14ac:dyDescent="0.3">
      <c r="A8" s="38"/>
      <c r="B8" s="294"/>
      <c r="C8" s="294"/>
      <c r="D8" s="295"/>
      <c r="E8" s="298"/>
      <c r="F8" s="299"/>
      <c r="G8" s="299"/>
      <c r="H8" s="299"/>
      <c r="I8" s="299"/>
      <c r="J8" s="109"/>
      <c r="K8" s="102" t="str">
        <f ca="1">+IF(AND('Mapa de Riesgos'!$H$29="Muy Alta",'Mapa de Riesgos'!$L$29="Leve"),CONCATENATE("R",'Mapa de Riesgos'!$A$29),"")</f>
        <v/>
      </c>
      <c r="L8" s="102" t="str">
        <f ca="1">+IF(AND('Mapa de Riesgos'!$H$42="Muy Alta",'Mapa de Riesgos'!$L$42="Leve"),CONCATENATE("R",'Mapa de Riesgos'!$A$42),"")</f>
        <v/>
      </c>
      <c r="M8" s="102" t="str">
        <f ca="1">+IF(AND('Mapa de Riesgos'!$H$57="Muy Alta",'Mapa de Riesgos'!$L$57="Leve"),CONCATENATE("R",'Mapa de Riesgos'!$A$57),"")</f>
        <v/>
      </c>
      <c r="N8" s="102" t="str">
        <f ca="1">+IF(AND('Mapa de Riesgos'!$H$70="Muy Alta",'Mapa de Riesgos'!$L$70="Leve"),CONCATENATE("R",'Mapa de Riesgos'!$A$70),"")</f>
        <v/>
      </c>
      <c r="O8" s="109" t="str">
        <f ca="1">+IF(AND('Mapa de Riesgos'!$H$15="Muy Alta",'Mapa de Riesgos'!$L$15="Menor"),CONCATENATE("R",'Mapa de Riesgos'!$A$15),"")</f>
        <v/>
      </c>
      <c r="P8" s="102" t="str">
        <f ca="1">+IF(AND('Mapa de Riesgos'!$H$29="Muy Alta",'Mapa de Riesgos'!$L$29="Menor"),CONCATENATE("R",'Mapa de Riesgos'!$A$29),"")</f>
        <v/>
      </c>
      <c r="Q8" s="102" t="str">
        <f ca="1">+IF(AND('Mapa de Riesgos'!$H$42="Muy Alta",'Mapa de Riesgos'!$L$42="Menor"),CONCATENATE("R",'Mapa de Riesgos'!$A$42),"")</f>
        <v/>
      </c>
      <c r="R8" s="102" t="str">
        <f ca="1">+IF(AND('Mapa de Riesgos'!$H$57="Muy Alta",'Mapa de Riesgos'!$L$57="Menor"),CONCATENATE("R",'Mapa de Riesgos'!$A$57),"")</f>
        <v/>
      </c>
      <c r="S8" s="102" t="str">
        <f ca="1">+IF(AND('Mapa de Riesgos'!$H$70="Muy Alta",'Mapa de Riesgos'!$L$70="Menor"),CONCATENATE("R",'Mapa de Riesgos'!$A$70),"")</f>
        <v/>
      </c>
      <c r="T8" s="109" t="str">
        <f ca="1">+IF(AND('Mapa de Riesgos'!$H$15="Muy Alta",'Mapa de Riesgos'!$L$15="Moderado"),CONCATENATE("R",'Mapa de Riesgos'!$A$15),"")</f>
        <v/>
      </c>
      <c r="U8" s="102" t="str">
        <f ca="1">+IF(AND('Mapa de Riesgos'!$H$29="Muy Alta",'Mapa de Riesgos'!$L$29="Moderado"),CONCATENATE("R",'Mapa de Riesgos'!$A$29),"")</f>
        <v/>
      </c>
      <c r="V8" s="102" t="str">
        <f ca="1">+IF(AND('Mapa de Riesgos'!$H$42="Muy Alta",'Mapa de Riesgos'!$L$42="Moderado"),CONCATENATE("R",'Mapa de Riesgos'!$A$42),"")</f>
        <v/>
      </c>
      <c r="W8" s="102" t="str">
        <f ca="1">+IF(AND('Mapa de Riesgos'!$H$57="Muy Alta",'Mapa de Riesgos'!$L$57="Moderado"),CONCATENATE("R",'Mapa de Riesgos'!$A$57),"")</f>
        <v/>
      </c>
      <c r="X8" s="102" t="str">
        <f ca="1">+IF(AND('Mapa de Riesgos'!$H$70="Muy Alta",'Mapa de Riesgos'!$L$70="Moderado"),CONCATENATE("R",'Mapa de Riesgos'!$A$70),"")</f>
        <v/>
      </c>
      <c r="Y8" s="109" t="str">
        <f ca="1">+IF(AND('Mapa de Riesgos'!$H$15="Muy Alta",'Mapa de Riesgos'!$L$15="Mayor"),CONCATENATE("R",'Mapa de Riesgos'!$A$15),"")</f>
        <v/>
      </c>
      <c r="Z8" s="102" t="str">
        <f ca="1">+IF(AND('Mapa de Riesgos'!$H$29="Muy Alta",'Mapa de Riesgos'!$L$29="Mayor"),CONCATENATE("R",'Mapa de Riesgos'!$A$29),"")</f>
        <v/>
      </c>
      <c r="AA8" s="102" t="str">
        <f ca="1">+IF(AND('Mapa de Riesgos'!$H$42="Muy Alta",'Mapa de Riesgos'!$L$42="Mayor"),CONCATENATE("R",'Mapa de Riesgos'!$A$42),"")</f>
        <v/>
      </c>
      <c r="AB8" s="102" t="str">
        <f ca="1">+IF(AND('Mapa de Riesgos'!$H$57="Muy Alta",'Mapa de Riesgos'!$L$57="Mayor"),CONCATENATE("R",'Mapa de Riesgos'!$A$57),"")</f>
        <v/>
      </c>
      <c r="AC8" s="102" t="str">
        <f ca="1">+IF(AND('Mapa de Riesgos'!$H$70="Muy Alta",'Mapa de Riesgos'!$L$70="Mayor"),CONCATENATE("R",'Mapa de Riesgos'!$A$70),"")</f>
        <v/>
      </c>
      <c r="AD8" s="133" t="str">
        <f ca="1">+IF(AND('Mapa de Riesgos'!$H$15="Muy Alta",'Mapa de Riesgos'!$L$15="Catastrófico"),CONCATENATE("R",'Mapa de Riesgos'!$A$15),"")</f>
        <v/>
      </c>
      <c r="AE8" s="103" t="str">
        <f ca="1">+IF(AND('Mapa de Riesgos'!$H$29="Muy Alta",'Mapa de Riesgos'!$L$29="Catastrófico"),CONCATENATE("R",'Mapa de Riesgos'!$A$29),"")</f>
        <v/>
      </c>
      <c r="AF8" s="103" t="str">
        <f ca="1">+IF(AND('Mapa de Riesgos'!$H$42="Muy Alta",'Mapa de Riesgos'!$L$42="Catastrófico"),CONCATENATE("R",'Mapa de Riesgos'!$A$42),"")</f>
        <v/>
      </c>
      <c r="AG8" s="103" t="str">
        <f ca="1">+IF(AND('Mapa de Riesgos'!$H$57="Muy Alta",'Mapa de Riesgos'!$L$57="Catastrófico"),CONCATENATE("R",'Mapa de Riesgos'!$A$57),"")</f>
        <v/>
      </c>
      <c r="AH8" s="129" t="str">
        <f ca="1">+IF(AND('Mapa de Riesgos'!$H$70="Muy Alta",'Mapa de Riesgos'!$L$70="Catastrófico"),CONCATENATE("R",'Mapa de Riesgos'!$A$70),"")</f>
        <v/>
      </c>
      <c r="AI8" s="100"/>
      <c r="AJ8" s="38"/>
      <c r="AK8" s="305"/>
      <c r="AL8" s="306"/>
      <c r="AM8" s="306"/>
      <c r="AN8" s="306"/>
      <c r="AO8" s="306"/>
      <c r="AP8" s="307"/>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row>
    <row r="9" spans="1:95" ht="18.75" x14ac:dyDescent="0.3">
      <c r="A9" s="38"/>
      <c r="B9" s="294"/>
      <c r="C9" s="294"/>
      <c r="D9" s="295"/>
      <c r="E9" s="298"/>
      <c r="F9" s="299"/>
      <c r="G9" s="299"/>
      <c r="H9" s="299"/>
      <c r="I9" s="299"/>
      <c r="J9" s="109" t="str">
        <f ca="1">+IF(AND('Mapa de Riesgos'!$H$17="Muy Alta",'Mapa de Riesgos'!$L$17="Leve"),CONCATENATE("R",'Mapa de Riesgos'!$A$17),"")</f>
        <v/>
      </c>
      <c r="K9" s="102" t="str">
        <f ca="1">+IF(AND('Mapa de Riesgos'!$H$30="Muy Alta",'Mapa de Riesgos'!$L$30="Leve"),CONCATENATE("R",'Mapa de Riesgos'!$A$30),"")</f>
        <v/>
      </c>
      <c r="L9" s="102" t="str">
        <f ca="1">+IF(AND('Mapa de Riesgos'!$H$44="Muy Alta",'Mapa de Riesgos'!$L$44="Leve"),CONCATENATE("R",'Mapa de Riesgos'!$A$44),"")</f>
        <v/>
      </c>
      <c r="M9" s="102" t="str">
        <f ca="1">+IF(AND('Mapa de Riesgos'!$H$58="Muy Alta",'Mapa de Riesgos'!$L$58="Leve"),CONCATENATE("R",'Mapa de Riesgos'!$A$58),"")</f>
        <v/>
      </c>
      <c r="N9" s="102" t="str">
        <f ca="1">+IF(AND('Mapa de Riesgos'!$H$72="Muy Alta",'Mapa de Riesgos'!$L$72="Leve"),CONCATENATE("R",'Mapa de Riesgos'!$A$72),"")</f>
        <v/>
      </c>
      <c r="O9" s="109" t="str">
        <f ca="1">+IF(AND('Mapa de Riesgos'!$H$17="Muy Alta",'Mapa de Riesgos'!$L$17="Menor"),CONCATENATE("R",'Mapa de Riesgos'!$A$17),"")</f>
        <v/>
      </c>
      <c r="P9" s="102" t="str">
        <f ca="1">+IF(AND('Mapa de Riesgos'!$H$30="Muy Alta",'Mapa de Riesgos'!$L$30="Menor"),CONCATENATE("R",'Mapa de Riesgos'!$A$30),"")</f>
        <v/>
      </c>
      <c r="Q9" s="102" t="str">
        <f ca="1">+IF(AND('Mapa de Riesgos'!$H$44="Muy Alta",'Mapa de Riesgos'!$L$44="Menor"),CONCATENATE("R",'Mapa de Riesgos'!$A$44),"")</f>
        <v/>
      </c>
      <c r="R9" s="102" t="str">
        <f ca="1">+IF(AND('Mapa de Riesgos'!$H$58="Muy Alta",'Mapa de Riesgos'!$L$58="Menor"),CONCATENATE("R",'Mapa de Riesgos'!$A$58),"")</f>
        <v/>
      </c>
      <c r="S9" s="102" t="str">
        <f ca="1">+IF(AND('Mapa de Riesgos'!$H$72="Muy Alta",'Mapa de Riesgos'!$L$72="Menor"),CONCATENATE("R",'Mapa de Riesgos'!$A$72),"")</f>
        <v/>
      </c>
      <c r="T9" s="109" t="str">
        <f ca="1">+IF(AND('Mapa de Riesgos'!$H$17="Muy Alta",'Mapa de Riesgos'!$L$17="Moderado"),CONCATENATE("R",'Mapa de Riesgos'!$A$17),"")</f>
        <v/>
      </c>
      <c r="U9" s="102" t="str">
        <f ca="1">+IF(AND('Mapa de Riesgos'!$H$30="Muy Alta",'Mapa de Riesgos'!$L$30="Moderado"),CONCATENATE("R",'Mapa de Riesgos'!$A$30),"")</f>
        <v/>
      </c>
      <c r="V9" s="102" t="str">
        <f ca="1">+IF(AND('Mapa de Riesgos'!$H$44="Muy Alta",'Mapa de Riesgos'!$L$44="Moderado"),CONCATENATE("R",'Mapa de Riesgos'!$A$44),"")</f>
        <v/>
      </c>
      <c r="W9" s="102" t="str">
        <f ca="1">+IF(AND('Mapa de Riesgos'!$H$58="Muy Alta",'Mapa de Riesgos'!$L$58="Moderado"),CONCATENATE("R",'Mapa de Riesgos'!$A$58),"")</f>
        <v/>
      </c>
      <c r="X9" s="102" t="str">
        <f ca="1">+IF(AND('Mapa de Riesgos'!$H$72="Muy Alta",'Mapa de Riesgos'!$L$72="Moderado"),CONCATENATE("R",'Mapa de Riesgos'!$A$72),"")</f>
        <v/>
      </c>
      <c r="Y9" s="109" t="str">
        <f ca="1">+IF(AND('Mapa de Riesgos'!$H$17="Muy Alta",'Mapa de Riesgos'!$L$17="Mayor"),CONCATENATE("R",'Mapa de Riesgos'!$A$17),"")</f>
        <v/>
      </c>
      <c r="Z9" s="102" t="str">
        <f ca="1">+IF(AND('Mapa de Riesgos'!$H$30="Muy Alta",'Mapa de Riesgos'!$L$30="Mayor"),CONCATENATE("R",'Mapa de Riesgos'!$A$30),"")</f>
        <v/>
      </c>
      <c r="AA9" s="102" t="str">
        <f ca="1">+IF(AND('Mapa de Riesgos'!$H$44="Muy Alta",'Mapa de Riesgos'!$L$44="Mayor"),CONCATENATE("R",'Mapa de Riesgos'!$A$44),"")</f>
        <v/>
      </c>
      <c r="AB9" s="102" t="str">
        <f ca="1">+IF(AND('Mapa de Riesgos'!$H$58="Muy Alta",'Mapa de Riesgos'!$L$58="Mayor"),CONCATENATE("R",'Mapa de Riesgos'!$A$58),"")</f>
        <v/>
      </c>
      <c r="AC9" s="102" t="str">
        <f ca="1">+IF(AND('Mapa de Riesgos'!$H$72="Muy Alta",'Mapa de Riesgos'!$L$72="Mayor"),CONCATENATE("R",'Mapa de Riesgos'!$A$72),"")</f>
        <v/>
      </c>
      <c r="AD9" s="133" t="str">
        <f ca="1">+IF(AND('Mapa de Riesgos'!$H$17="Muy Alta",'Mapa de Riesgos'!$L$17="Catastrófico"),CONCATENATE("R",'Mapa de Riesgos'!$A$17),"")</f>
        <v/>
      </c>
      <c r="AE9" s="103" t="str">
        <f ca="1">+IF(AND('Mapa de Riesgos'!$H$30="Muy Alta",'Mapa de Riesgos'!$L$30="Catastrófico"),CONCATENATE("R",'Mapa de Riesgos'!$A$30),"")</f>
        <v/>
      </c>
      <c r="AF9" s="103" t="str">
        <f ca="1">+IF(AND('Mapa de Riesgos'!$H$44="Muy Alta",'Mapa de Riesgos'!$L$44="Catastrófico"),CONCATENATE("R",'Mapa de Riesgos'!$A$44),"")</f>
        <v/>
      </c>
      <c r="AG9" s="103" t="str">
        <f ca="1">+IF(AND('Mapa de Riesgos'!$H$58="Muy Alta",'Mapa de Riesgos'!$L$58="Catastrófico"),CONCATENATE("R",'Mapa de Riesgos'!$A$58),"")</f>
        <v/>
      </c>
      <c r="AH9" s="129" t="str">
        <f ca="1">+IF(AND('Mapa de Riesgos'!$H$72="Muy Alta",'Mapa de Riesgos'!$L$72="Catastrófico"),CONCATENATE("R",'Mapa de Riesgos'!$A$72),"")</f>
        <v/>
      </c>
      <c r="AI9" s="100"/>
      <c r="AJ9" s="38"/>
      <c r="AK9" s="305"/>
      <c r="AL9" s="306"/>
      <c r="AM9" s="306"/>
      <c r="AN9" s="306"/>
      <c r="AO9" s="306"/>
      <c r="AP9" s="307"/>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row>
    <row r="10" spans="1:95" ht="18.75" x14ac:dyDescent="0.3">
      <c r="A10" s="38"/>
      <c r="B10" s="294"/>
      <c r="C10" s="294"/>
      <c r="D10" s="295"/>
      <c r="E10" s="298"/>
      <c r="F10" s="299"/>
      <c r="G10" s="299"/>
      <c r="H10" s="299"/>
      <c r="I10" s="299"/>
      <c r="J10" s="109" t="str">
        <f ca="1">+IF(AND('Mapa de Riesgos'!$H$19="Muy Alta",'Mapa de Riesgos'!$L$19="Leve"),CONCATENATE("R",'Mapa de Riesgos'!$A$19),"")</f>
        <v/>
      </c>
      <c r="K10" s="102" t="str">
        <f ca="1">+IF(AND('Mapa de Riesgos'!$H$32="Muy Alta",'Mapa de Riesgos'!$L$32="Leve"),CONCATENATE("R",'Mapa de Riesgos'!$A$32),"")</f>
        <v/>
      </c>
      <c r="L10" s="102" t="str">
        <f ca="1">+IF(AND('Mapa de Riesgos'!$H$45="Muy Alta",'Mapa de Riesgos'!$L$45="Leve"),CONCATENATE("R",'Mapa de Riesgos'!$A$45),"")</f>
        <v/>
      </c>
      <c r="M10" s="102" t="str">
        <f ca="1">+IF(AND('Mapa de Riesgos'!$H$60="Muy Alta",'Mapa de Riesgos'!$L$60="Leve"),CONCATENATE("R",'Mapa de Riesgos'!$A$60),"")</f>
        <v/>
      </c>
      <c r="N10" s="102" t="str">
        <f>+IF(AND('Mapa de Riesgos'!$H$76="Muy Alta",'Mapa de Riesgos'!$L$76="Leve"),CONCATENATE("R",'Mapa de Riesgos'!$A$76),"")</f>
        <v/>
      </c>
      <c r="O10" s="109" t="str">
        <f ca="1">+IF(AND('Mapa de Riesgos'!$H$19="Muy Alta",'Mapa de Riesgos'!$L$19="Menor"),CONCATENATE("R",'Mapa de Riesgos'!$A$19),"")</f>
        <v/>
      </c>
      <c r="P10" s="102" t="str">
        <f ca="1">+IF(AND('Mapa de Riesgos'!$H$32="Muy Alta",'Mapa de Riesgos'!$L$32="Menor"),CONCATENATE("R",'Mapa de Riesgos'!$A$32),"")</f>
        <v/>
      </c>
      <c r="Q10" s="102" t="str">
        <f ca="1">+IF(AND('Mapa de Riesgos'!$H$45="Muy Alta",'Mapa de Riesgos'!$L$45="Menor"),CONCATENATE("R",'Mapa de Riesgos'!$A$45),"")</f>
        <v/>
      </c>
      <c r="R10" s="102" t="str">
        <f ca="1">+IF(AND('Mapa de Riesgos'!$H$60="Muy Alta",'Mapa de Riesgos'!$L$60="Menor"),CONCATENATE("R",'Mapa de Riesgos'!$A$60),"")</f>
        <v/>
      </c>
      <c r="S10" s="102" t="str">
        <f>+IF(AND('Mapa de Riesgos'!$H$76="Muy Alta",'Mapa de Riesgos'!$L$76="Menor"),CONCATENATE("R",'Mapa de Riesgos'!$A$76),"")</f>
        <v/>
      </c>
      <c r="T10" s="109" t="str">
        <f ca="1">+IF(AND('Mapa de Riesgos'!$H$19="Muy Alta",'Mapa de Riesgos'!$L$19="Moderado"),CONCATENATE("R",'Mapa de Riesgos'!$A$19),"")</f>
        <v/>
      </c>
      <c r="U10" s="102" t="str">
        <f ca="1">+IF(AND('Mapa de Riesgos'!$H$32="Muy Alta",'Mapa de Riesgos'!$L$32="Moderado"),CONCATENATE("R",'Mapa de Riesgos'!$A$32),"")</f>
        <v/>
      </c>
      <c r="V10" s="102" t="str">
        <f ca="1">+IF(AND('Mapa de Riesgos'!$H$45="Muy Alta",'Mapa de Riesgos'!$L$45="Moderado"),CONCATENATE("R",'Mapa de Riesgos'!$A$45),"")</f>
        <v/>
      </c>
      <c r="W10" s="102" t="str">
        <f ca="1">+IF(AND('Mapa de Riesgos'!$H$60="Muy Alta",'Mapa de Riesgos'!$L$60="Moderado"),CONCATENATE("R",'Mapa de Riesgos'!$A$60),"")</f>
        <v/>
      </c>
      <c r="X10" s="102" t="str">
        <f>+IF(AND('Mapa de Riesgos'!$H$76="Muy Alta",'Mapa de Riesgos'!$L$76="Moderado"),CONCATENATE("R",'Mapa de Riesgos'!$A$76),"")</f>
        <v/>
      </c>
      <c r="Y10" s="109" t="str">
        <f ca="1">+IF(AND('Mapa de Riesgos'!$H$19="Muy Alta",'Mapa de Riesgos'!$L$19="Mayor"),CONCATENATE("R",'Mapa de Riesgos'!$A$19),"")</f>
        <v/>
      </c>
      <c r="Z10" s="102" t="str">
        <f ca="1">+IF(AND('Mapa de Riesgos'!$H$32="Muy Alta",'Mapa de Riesgos'!$L$32="Mayor"),CONCATENATE("R",'Mapa de Riesgos'!$A$32),"")</f>
        <v/>
      </c>
      <c r="AA10" s="102" t="str">
        <f ca="1">+IF(AND('Mapa de Riesgos'!$H$45="Muy Alta",'Mapa de Riesgos'!$L$45="Mayor"),CONCATENATE("R",'Mapa de Riesgos'!$A$45),"")</f>
        <v/>
      </c>
      <c r="AB10" s="102" t="str">
        <f ca="1">+IF(AND('Mapa de Riesgos'!$H$60="Muy Alta",'Mapa de Riesgos'!$L$60="Mayor"),CONCATENATE("R",'Mapa de Riesgos'!$A$60),"")</f>
        <v/>
      </c>
      <c r="AC10" s="102" t="str">
        <f>+IF(AND('Mapa de Riesgos'!$H$76="Muy Alta",'Mapa de Riesgos'!$L$76="Mayor"),CONCATENATE("R",'Mapa de Riesgos'!$A$76),"")</f>
        <v/>
      </c>
      <c r="AD10" s="133" t="str">
        <f ca="1">+IF(AND('Mapa de Riesgos'!$H$19="Muy Alta",'Mapa de Riesgos'!$L$19="Catastrófico"),CONCATENATE("R",'Mapa de Riesgos'!$A$19),"")</f>
        <v/>
      </c>
      <c r="AE10" s="103" t="str">
        <f ca="1">+IF(AND('Mapa de Riesgos'!$H$32="Muy Alta",'Mapa de Riesgos'!$L$32="Catastrófico"),CONCATENATE("R",'Mapa de Riesgos'!$A$32),"")</f>
        <v/>
      </c>
      <c r="AF10" s="103" t="str">
        <f ca="1">+IF(AND('Mapa de Riesgos'!$H$45="Muy Alta",'Mapa de Riesgos'!$L$45="Catastrófico"),CONCATENATE("R",'Mapa de Riesgos'!$A$45),"")</f>
        <v/>
      </c>
      <c r="AG10" s="103" t="str">
        <f ca="1">+IF(AND('Mapa de Riesgos'!$H$60="Muy Alta",'Mapa de Riesgos'!$L$60="Catastrófico"),CONCATENATE("R",'Mapa de Riesgos'!$A$60),"")</f>
        <v/>
      </c>
      <c r="AH10" s="129" t="str">
        <f>+IF(AND('Mapa de Riesgos'!$H$76="Muy Alta",'Mapa de Riesgos'!$L$76="Catastrófico"),CONCATENATE("R",'Mapa de Riesgos'!$A$76),"")</f>
        <v/>
      </c>
      <c r="AI10" s="100"/>
      <c r="AJ10" s="38"/>
      <c r="AK10" s="305"/>
      <c r="AL10" s="306"/>
      <c r="AM10" s="306"/>
      <c r="AN10" s="306"/>
      <c r="AO10" s="306"/>
      <c r="AP10" s="307"/>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row>
    <row r="11" spans="1:95" ht="18.75" x14ac:dyDescent="0.3">
      <c r="A11" s="38"/>
      <c r="B11" s="294"/>
      <c r="C11" s="294"/>
      <c r="D11" s="295"/>
      <c r="E11" s="298"/>
      <c r="F11" s="299"/>
      <c r="G11" s="299"/>
      <c r="H11" s="299"/>
      <c r="I11" s="299"/>
      <c r="J11" s="109" t="str">
        <f ca="1">+IF(AND('Mapa de Riesgos'!$H$21="Muy Alta",'Mapa de Riesgos'!$L$21="Leve"),CONCATENATE("R",'Mapa de Riesgos'!$A$21),"")</f>
        <v/>
      </c>
      <c r="K11" s="102" t="str">
        <f ca="1">+IF(AND('Mapa de Riesgos'!$H$34="Muy Alta",'Mapa de Riesgos'!$L$34="Leve"),CONCATENATE("R",'Mapa de Riesgos'!$A$34),"")</f>
        <v/>
      </c>
      <c r="L11" s="102" t="e">
        <f>+IF(AND('Mapa de Riesgos'!#REF!="Muy Alta",'Mapa de Riesgos'!#REF!="Leve"),CONCATENATE("R",'Mapa de Riesgos'!#REF!),"")</f>
        <v>#REF!</v>
      </c>
      <c r="M11" s="102" t="str">
        <f ca="1">+IF(AND('Mapa de Riesgos'!$H$61="Muy Alta",'Mapa de Riesgos'!$L$61="Leve"),CONCATENATE("R",'Mapa de Riesgos'!$A$61),"")</f>
        <v/>
      </c>
      <c r="N11" s="102" t="str">
        <f>+IF(AND('Mapa de Riesgos'!$H$82="Muy Alta",'Mapa de Riesgos'!$L$82="Leve"),CONCATENATE("R",'Mapa de Riesgos'!$A$82),"")</f>
        <v/>
      </c>
      <c r="O11" s="109" t="str">
        <f ca="1">+IF(AND('Mapa de Riesgos'!$H$21="Muy Alta",'Mapa de Riesgos'!$L$21="Menor"),CONCATENATE("R",'Mapa de Riesgos'!$A$21),"")</f>
        <v/>
      </c>
      <c r="P11" s="102" t="str">
        <f ca="1">+IF(AND('Mapa de Riesgos'!$H$34="Muy Alta",'Mapa de Riesgos'!$L$34="Menor"),CONCATENATE("R",'Mapa de Riesgos'!$A$34),"")</f>
        <v/>
      </c>
      <c r="Q11" s="102" t="e">
        <f>+IF(AND('Mapa de Riesgos'!#REF!="Muy Alta",'Mapa de Riesgos'!#REF!="Menor"),CONCATENATE("R",'Mapa de Riesgos'!#REF!),"")</f>
        <v>#REF!</v>
      </c>
      <c r="R11" s="102" t="str">
        <f ca="1">+IF(AND('Mapa de Riesgos'!$H$61="Muy Alta",'Mapa de Riesgos'!$L$61="Menor"),CONCATENATE("R",'Mapa de Riesgos'!$A$61),"")</f>
        <v/>
      </c>
      <c r="S11" s="102" t="str">
        <f>+IF(AND('Mapa de Riesgos'!$H$82="Muy Alta",'Mapa de Riesgos'!$L$82="Menor"),CONCATENATE("R",'Mapa de Riesgos'!$A$82),"")</f>
        <v/>
      </c>
      <c r="T11" s="109" t="str">
        <f ca="1">+IF(AND('Mapa de Riesgos'!$H$21="Muy Alta",'Mapa de Riesgos'!$L$21="Moderado"),CONCATENATE("R",'Mapa de Riesgos'!$A$21),"")</f>
        <v/>
      </c>
      <c r="U11" s="102" t="str">
        <f ca="1">+IF(AND('Mapa de Riesgos'!$H$34="Muy Alta",'Mapa de Riesgos'!$L$34="Moderado"),CONCATENATE("R",'Mapa de Riesgos'!$A$34),"")</f>
        <v/>
      </c>
      <c r="V11" s="102" t="e">
        <f>+IF(AND('Mapa de Riesgos'!#REF!="Muy Alta",'Mapa de Riesgos'!#REF!="Moderado"),CONCATENATE("R",'Mapa de Riesgos'!#REF!),"")</f>
        <v>#REF!</v>
      </c>
      <c r="W11" s="102" t="str">
        <f ca="1">+IF(AND('Mapa de Riesgos'!$H$61="Muy Alta",'Mapa de Riesgos'!$L$61="Moderado"),CONCATENATE("R",'Mapa de Riesgos'!$A$61),"")</f>
        <v/>
      </c>
      <c r="X11" s="102" t="str">
        <f>+IF(AND('Mapa de Riesgos'!$H$82="Muy Alta",'Mapa de Riesgos'!$L$82="Moderado"),CONCATENATE("R",'Mapa de Riesgos'!$A$82),"")</f>
        <v/>
      </c>
      <c r="Y11" s="109" t="str">
        <f ca="1">+IF(AND('Mapa de Riesgos'!$H$21="Muy Alta",'Mapa de Riesgos'!$L$21="Mayor"),CONCATENATE("R",'Mapa de Riesgos'!$A$21),"")</f>
        <v/>
      </c>
      <c r="Z11" s="102" t="str">
        <f ca="1">+IF(AND('Mapa de Riesgos'!$H$34="Muy Alta",'Mapa de Riesgos'!$L$34="Mayor"),CONCATENATE("R",'Mapa de Riesgos'!$A$34),"")</f>
        <v/>
      </c>
      <c r="AA11" s="102" t="e">
        <f>+IF(AND('Mapa de Riesgos'!#REF!="Muy Alta",'Mapa de Riesgos'!#REF!="Mayor"),CONCATENATE("R",'Mapa de Riesgos'!#REF!),"")</f>
        <v>#REF!</v>
      </c>
      <c r="AB11" s="102" t="str">
        <f ca="1">+IF(AND('Mapa de Riesgos'!$H$61="Muy Alta",'Mapa de Riesgos'!$L$61="Mayor"),CONCATENATE("R",'Mapa de Riesgos'!$A$61),"")</f>
        <v/>
      </c>
      <c r="AC11" s="102" t="str">
        <f>+IF(AND('Mapa de Riesgos'!$H$82="Muy Alta",'Mapa de Riesgos'!$L$82="Mayor"),CONCATENATE("R",'Mapa de Riesgos'!$A$82),"")</f>
        <v/>
      </c>
      <c r="AD11" s="133" t="str">
        <f ca="1">+IF(AND('Mapa de Riesgos'!$H$21="Muy Alta",'Mapa de Riesgos'!$L$21="Catastrófico"),CONCATENATE("R",'Mapa de Riesgos'!$A$21),"")</f>
        <v/>
      </c>
      <c r="AE11" s="103" t="str">
        <f ca="1">+IF(AND('Mapa de Riesgos'!$H$34="Muy Alta",'Mapa de Riesgos'!$L$34="Catastrófico"),CONCATENATE("R",'Mapa de Riesgos'!$A$34),"")</f>
        <v/>
      </c>
      <c r="AF11" s="103" t="e">
        <f>+IF(AND('Mapa de Riesgos'!#REF!="Muy Alta",'Mapa de Riesgos'!#REF!="Catastrófico"),CONCATENATE("R",'Mapa de Riesgos'!#REF!),"")</f>
        <v>#REF!</v>
      </c>
      <c r="AG11" s="103" t="str">
        <f ca="1">+IF(AND('Mapa de Riesgos'!$H$61="Muy Alta",'Mapa de Riesgos'!$L$61="Catastrófico"),CONCATENATE("R",'Mapa de Riesgos'!$A$61),"")</f>
        <v/>
      </c>
      <c r="AH11" s="129" t="str">
        <f>+IF(AND('Mapa de Riesgos'!$H$82="Muy Alta",'Mapa de Riesgos'!$L$82="Catastrófico"),CONCATENATE("R",'Mapa de Riesgos'!$A$82),"")</f>
        <v/>
      </c>
      <c r="AI11" s="100"/>
      <c r="AJ11" s="38"/>
      <c r="AK11" s="305"/>
      <c r="AL11" s="306"/>
      <c r="AM11" s="306"/>
      <c r="AN11" s="306"/>
      <c r="AO11" s="306"/>
      <c r="AP11" s="307"/>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row>
    <row r="12" spans="1:95" ht="18.75" x14ac:dyDescent="0.3">
      <c r="A12" s="38"/>
      <c r="B12" s="294"/>
      <c r="C12" s="294"/>
      <c r="D12" s="295"/>
      <c r="E12" s="298"/>
      <c r="F12" s="299"/>
      <c r="G12" s="299"/>
      <c r="H12" s="299"/>
      <c r="I12" s="299"/>
      <c r="J12" s="109" t="str">
        <f ca="1">+IF(AND('Mapa de Riesgos'!$H$23="Muy Alta",'Mapa de Riesgos'!$L$23="Leve"),CONCATENATE("R",'Mapa de Riesgos'!$A$23),"")</f>
        <v/>
      </c>
      <c r="K12" s="102" t="str">
        <f ca="1">+IF(AND('Mapa de Riesgos'!$H$36="Muy Alta",'Mapa de Riesgos'!$L$36="Leve"),CONCATENATE("R",'Mapa de Riesgos'!$A$36),"")</f>
        <v/>
      </c>
      <c r="L12" s="102" t="str">
        <f ca="1">+IF(AND('Mapa de Riesgos'!$H$48="Muy Alta",'Mapa de Riesgos'!$L$48="Leve"),CONCATENATE("R",'Mapa de Riesgos'!$A$48),"")</f>
        <v/>
      </c>
      <c r="M12" s="102" t="str">
        <f ca="1">+IF(AND('Mapa de Riesgos'!$H$63="Muy Alta",'Mapa de Riesgos'!$L$63="Leve"),CONCATENATE("R",'Mapa de Riesgos'!$A$63),"")</f>
        <v/>
      </c>
      <c r="N12" s="102" t="str">
        <f>+IF(AND('Mapa de Riesgos'!$H$88="Muy Alta",'Mapa de Riesgos'!$L$88="Leve"),CONCATENATE("R",'Mapa de Riesgos'!$A$88),"")</f>
        <v/>
      </c>
      <c r="O12" s="109" t="str">
        <f ca="1">+IF(AND('Mapa de Riesgos'!$H$23="Muy Alta",'Mapa de Riesgos'!$L$23="Menor"),CONCATENATE("R",'Mapa de Riesgos'!$A$23),"")</f>
        <v/>
      </c>
      <c r="P12" s="102" t="str">
        <f ca="1">+IF(AND('Mapa de Riesgos'!$H$36="Muy Alta",'Mapa de Riesgos'!$L$36="Menor"),CONCATENATE("R",'Mapa de Riesgos'!$A$36),"")</f>
        <v/>
      </c>
      <c r="Q12" s="102" t="str">
        <f ca="1">+IF(AND('Mapa de Riesgos'!$H$48="Muy Alta",'Mapa de Riesgos'!$L$48="Menor"),CONCATENATE("R",'Mapa de Riesgos'!$A$48),"")</f>
        <v/>
      </c>
      <c r="R12" s="102" t="str">
        <f ca="1">+IF(AND('Mapa de Riesgos'!$H$63="Muy Alta",'Mapa de Riesgos'!$L$63="Menor"),CONCATENATE("R",'Mapa de Riesgos'!$A$63),"")</f>
        <v/>
      </c>
      <c r="S12" s="102" t="str">
        <f>+IF(AND('Mapa de Riesgos'!$H$88="Muy Alta",'Mapa de Riesgos'!$L$88="Menor"),CONCATENATE("R",'Mapa de Riesgos'!$A$88),"")</f>
        <v/>
      </c>
      <c r="T12" s="109" t="str">
        <f ca="1">+IF(AND('Mapa de Riesgos'!$H$23="Muy Alta",'Mapa de Riesgos'!$L$23="Moderado"),CONCATENATE("R",'Mapa de Riesgos'!$A$23),"")</f>
        <v/>
      </c>
      <c r="U12" s="102" t="str">
        <f ca="1">+IF(AND('Mapa de Riesgos'!$H$36="Muy Alta",'Mapa de Riesgos'!$L$36="Moderado"),CONCATENATE("R",'Mapa de Riesgos'!$A$36),"")</f>
        <v/>
      </c>
      <c r="V12" s="102" t="str">
        <f ca="1">+IF(AND('Mapa de Riesgos'!$H$48="Muy Alta",'Mapa de Riesgos'!$L$48="Moderado"),CONCATENATE("R",'Mapa de Riesgos'!$A$48),"")</f>
        <v/>
      </c>
      <c r="W12" s="102" t="str">
        <f ca="1">+IF(AND('Mapa de Riesgos'!$H$63="Muy Alta",'Mapa de Riesgos'!$L$63="Moderado"),CONCATENATE("R",'Mapa de Riesgos'!$A$63),"")</f>
        <v/>
      </c>
      <c r="X12" s="102" t="str">
        <f>+IF(AND('Mapa de Riesgos'!$H$88="Muy Alta",'Mapa de Riesgos'!$L$88="Moderado"),CONCATENATE("R",'Mapa de Riesgos'!$A$88),"")</f>
        <v/>
      </c>
      <c r="Y12" s="109" t="str">
        <f ca="1">+IF(AND('Mapa de Riesgos'!$H$23="Muy Alta",'Mapa de Riesgos'!$L$23="Mayor"),CONCATENATE("R",'Mapa de Riesgos'!$A$23),"")</f>
        <v/>
      </c>
      <c r="Z12" s="102" t="str">
        <f ca="1">+IF(AND('Mapa de Riesgos'!$H$36="Muy Alta",'Mapa de Riesgos'!$L$36="Mayor"),CONCATENATE("R",'Mapa de Riesgos'!$A$36),"")</f>
        <v/>
      </c>
      <c r="AA12" s="102" t="str">
        <f ca="1">+IF(AND('Mapa de Riesgos'!$H$48="Muy Alta",'Mapa de Riesgos'!$L$48="Mayor"),CONCATENATE("R",'Mapa de Riesgos'!$A$48),"")</f>
        <v/>
      </c>
      <c r="AB12" s="102" t="str">
        <f ca="1">+IF(AND('Mapa de Riesgos'!$H$63="Muy Alta",'Mapa de Riesgos'!$L$63="Mayor"),CONCATENATE("R",'Mapa de Riesgos'!$A$63),"")</f>
        <v/>
      </c>
      <c r="AC12" s="102" t="str">
        <f>+IF(AND('Mapa de Riesgos'!$H$88="Muy Alta",'Mapa de Riesgos'!$L$88="Mayor"),CONCATENATE("R",'Mapa de Riesgos'!$A$88),"")</f>
        <v/>
      </c>
      <c r="AD12" s="133" t="str">
        <f ca="1">+IF(AND('Mapa de Riesgos'!$H$23="Muy Alta",'Mapa de Riesgos'!$L$23="Catastrófico"),CONCATENATE("R",'Mapa de Riesgos'!$A$23),"")</f>
        <v/>
      </c>
      <c r="AE12" s="103" t="str">
        <f ca="1">+IF(AND('Mapa de Riesgos'!$H$36="Muy Alta",'Mapa de Riesgos'!$L$36="Catastrófico"),CONCATENATE("R",'Mapa de Riesgos'!$A$36),"")</f>
        <v/>
      </c>
      <c r="AF12" s="103" t="str">
        <f ca="1">+IF(AND('Mapa de Riesgos'!$H$48="Muy Alta",'Mapa de Riesgos'!$L$48="Catastrófico"),CONCATENATE("R",'Mapa de Riesgos'!$A$48),"")</f>
        <v/>
      </c>
      <c r="AG12" s="103" t="str">
        <f ca="1">+IF(AND('Mapa de Riesgos'!$H$63="Muy Alta",'Mapa de Riesgos'!$L$63="Catastrófico"),CONCATENATE("R",'Mapa de Riesgos'!$A$63),"")</f>
        <v/>
      </c>
      <c r="AH12" s="129" t="str">
        <f>+IF(AND('Mapa de Riesgos'!$H$88="Muy Alta",'Mapa de Riesgos'!$L$88="Catastrófico"),CONCATENATE("R",'Mapa de Riesgos'!$A$88),"")</f>
        <v/>
      </c>
      <c r="AI12" s="100"/>
      <c r="AJ12" s="38"/>
      <c r="AK12" s="305"/>
      <c r="AL12" s="306"/>
      <c r="AM12" s="306"/>
      <c r="AN12" s="306"/>
      <c r="AO12" s="306"/>
      <c r="AP12" s="307"/>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row>
    <row r="13" spans="1:95" ht="19.5" thickBot="1" x14ac:dyDescent="0.35">
      <c r="A13" s="38"/>
      <c r="B13" s="294"/>
      <c r="C13" s="294"/>
      <c r="D13" s="295"/>
      <c r="E13" s="300"/>
      <c r="F13" s="301"/>
      <c r="G13" s="301"/>
      <c r="H13" s="301"/>
      <c r="I13" s="301"/>
      <c r="J13" s="109" t="str">
        <f ca="1">+IF(AND('Mapa de Riesgos'!$H$26="Muy Alta",'Mapa de Riesgos'!$L$26="Leve"),CONCATENATE("R",'Mapa de Riesgos'!$A$26),"")</f>
        <v/>
      </c>
      <c r="K13" s="102" t="str">
        <f ca="1">+IF(AND('Mapa de Riesgos'!$H$37="Muy Alta",'Mapa de Riesgos'!$L$37="Leve"),CONCATENATE("R",'Mapa de Riesgos'!$A$37),"")</f>
        <v/>
      </c>
      <c r="L13" s="102" t="str">
        <f ca="1">+IF(AND('Mapa de Riesgos'!$H$51="Muy Alta",'Mapa de Riesgos'!$L$51="Leve"),CONCATENATE("R",'Mapa de Riesgos'!$A$51),"")</f>
        <v/>
      </c>
      <c r="M13" s="102" t="str">
        <f ca="1">+IF(AND('Mapa de Riesgos'!$H$64="Muy Alta",'Mapa de Riesgos'!$L$64="Leve"),CONCATENATE("R",'Mapa de Riesgos'!$A$64),"")</f>
        <v/>
      </c>
      <c r="N13" s="102" t="str">
        <f>+IF(AND('Mapa de Riesgos'!$H$94="Muy Alta",'Mapa de Riesgos'!$L$94="Leve"),CONCATENATE("R",'Mapa de Riesgos'!$A$94),"")</f>
        <v/>
      </c>
      <c r="O13" s="109" t="str">
        <f ca="1">+IF(AND('Mapa de Riesgos'!$H$26="Muy Alta",'Mapa de Riesgos'!$L$26="Menor"),CONCATENATE("R",'Mapa de Riesgos'!$A$26),"")</f>
        <v/>
      </c>
      <c r="P13" s="102" t="str">
        <f ca="1">+IF(AND('Mapa de Riesgos'!$H$37="Muy Alta",'Mapa de Riesgos'!$L$37="Menor"),CONCATENATE("R",'Mapa de Riesgos'!$A$37),"")</f>
        <v/>
      </c>
      <c r="Q13" s="102" t="str">
        <f ca="1">+IF(AND('Mapa de Riesgos'!$H$51="Muy Alta",'Mapa de Riesgos'!$L$51="Menor"),CONCATENATE("R",'Mapa de Riesgos'!$A$51),"")</f>
        <v/>
      </c>
      <c r="R13" s="102" t="str">
        <f ca="1">+IF(AND('Mapa de Riesgos'!$H$64="Muy Alta",'Mapa de Riesgos'!$L$64="Menor"),CONCATENATE("R",'Mapa de Riesgos'!$A$64),"")</f>
        <v/>
      </c>
      <c r="S13" s="102" t="str">
        <f>+IF(AND('Mapa de Riesgos'!$H$94="Muy Alta",'Mapa de Riesgos'!$L$94="Menor"),CONCATENATE("R",'Mapa de Riesgos'!$A$94),"")</f>
        <v/>
      </c>
      <c r="T13" s="109" t="str">
        <f ca="1">+IF(AND('Mapa de Riesgos'!$H$26="Muy Alta",'Mapa de Riesgos'!$L$26="Moderado"),CONCATENATE("R",'Mapa de Riesgos'!$A$26),"")</f>
        <v/>
      </c>
      <c r="U13" s="102" t="str">
        <f ca="1">+IF(AND('Mapa de Riesgos'!$H$37="Muy Alta",'Mapa de Riesgos'!$L$37="Moderado"),CONCATENATE("R",'Mapa de Riesgos'!$A$37),"")</f>
        <v/>
      </c>
      <c r="V13" s="102" t="str">
        <f ca="1">+IF(AND('Mapa de Riesgos'!$H$51="Muy Alta",'Mapa de Riesgos'!$L$51="Moderado"),CONCATENATE("R",'Mapa de Riesgos'!$A$51),"")</f>
        <v/>
      </c>
      <c r="W13" s="102" t="str">
        <f ca="1">+IF(AND('Mapa de Riesgos'!$H$64="Muy Alta",'Mapa de Riesgos'!$L$64="Moderado"),CONCATENATE("R",'Mapa de Riesgos'!$A$64),"")</f>
        <v/>
      </c>
      <c r="X13" s="102" t="str">
        <f>+IF(AND('Mapa de Riesgos'!$H$94="Muy Alta",'Mapa de Riesgos'!$L$94="Moderado"),CONCATENATE("R",'Mapa de Riesgos'!$A$94),"")</f>
        <v/>
      </c>
      <c r="Y13" s="109" t="str">
        <f ca="1">+IF(AND('Mapa de Riesgos'!$H$26="Muy Alta",'Mapa de Riesgos'!$L$26="Mayor"),CONCATENATE("R",'Mapa de Riesgos'!$A$26),"")</f>
        <v/>
      </c>
      <c r="Z13" s="102" t="str">
        <f ca="1">+IF(AND('Mapa de Riesgos'!$H$37="Muy Alta",'Mapa de Riesgos'!$L$37="Mayor"),CONCATENATE("R",'Mapa de Riesgos'!$A$37),"")</f>
        <v/>
      </c>
      <c r="AA13" s="102" t="str">
        <f ca="1">+IF(AND('Mapa de Riesgos'!$H$51="Muy Alta",'Mapa de Riesgos'!$L$51="Mayor"),CONCATENATE("R",'Mapa de Riesgos'!$A$51),"")</f>
        <v/>
      </c>
      <c r="AB13" s="102" t="str">
        <f ca="1">+IF(AND('Mapa de Riesgos'!$H$64="Muy Alta",'Mapa de Riesgos'!$L$64="Mayor"),CONCATENATE("R",'Mapa de Riesgos'!$A$64),"")</f>
        <v/>
      </c>
      <c r="AC13" s="102" t="str">
        <f>+IF(AND('Mapa de Riesgos'!$H$94="Muy Alta",'Mapa de Riesgos'!$L$94="Mayor"),CONCATENATE("R",'Mapa de Riesgos'!$A$94),"")</f>
        <v/>
      </c>
      <c r="AD13" s="133" t="str">
        <f ca="1">+IF(AND('Mapa de Riesgos'!$H$26="Muy Alta",'Mapa de Riesgos'!$L$26="Catastrófico"),CONCATENATE("R",'Mapa de Riesgos'!$A$26),"")</f>
        <v/>
      </c>
      <c r="AE13" s="103" t="str">
        <f ca="1">+IF(AND('Mapa de Riesgos'!$H$37="Muy Alta",'Mapa de Riesgos'!$L$37="Catastrófico"),CONCATENATE("R",'Mapa de Riesgos'!$A$37),"")</f>
        <v/>
      </c>
      <c r="AF13" s="103" t="str">
        <f ca="1">+IF(AND('Mapa de Riesgos'!$H$51="Muy Alta",'Mapa de Riesgos'!$L$51="Catastrófico"),CONCATENATE("R",'Mapa de Riesgos'!$A$51),"")</f>
        <v/>
      </c>
      <c r="AG13" s="103" t="str">
        <f ca="1">+IF(AND('Mapa de Riesgos'!$H$64="Muy Alta",'Mapa de Riesgos'!$L$64="Catastrófico"),CONCATENATE("R",'Mapa de Riesgos'!$A$64),"")</f>
        <v/>
      </c>
      <c r="AH13" s="129" t="str">
        <f>+IF(AND('Mapa de Riesgos'!$H$94="Muy Alta",'Mapa de Riesgos'!$L$94="Catastrófico"),CONCATENATE("R",'Mapa de Riesgos'!$A$94),"")</f>
        <v/>
      </c>
      <c r="AI13" s="100"/>
      <c r="AJ13" s="38"/>
      <c r="AK13" s="308"/>
      <c r="AL13" s="309"/>
      <c r="AM13" s="309"/>
      <c r="AN13" s="309"/>
      <c r="AO13" s="309"/>
      <c r="AP13" s="310"/>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row>
    <row r="14" spans="1:95" ht="18.75" x14ac:dyDescent="0.3">
      <c r="A14" s="38"/>
      <c r="B14" s="294"/>
      <c r="C14" s="294"/>
      <c r="D14" s="295"/>
      <c r="E14" s="296" t="s">
        <v>83</v>
      </c>
      <c r="F14" s="297"/>
      <c r="G14" s="297"/>
      <c r="H14" s="297"/>
      <c r="I14" s="297"/>
      <c r="J14" s="114" t="str">
        <f ca="1">+IF(AND('Mapa de Riesgos'!$H$7="Alta",'Mapa de Riesgos'!$L$7="Leve"),CONCATENATE("R",'Mapa de Riesgos'!$A$7),"")</f>
        <v/>
      </c>
      <c r="K14" s="115" t="str">
        <f ca="1">+IF(AND('Mapa de Riesgos'!$H$27="Alta",'Mapa de Riesgos'!$L$27="Leve"),CONCATENATE("R",'Mapa de Riesgos'!$A$27),"")</f>
        <v/>
      </c>
      <c r="L14" s="115" t="str">
        <f ca="1">+IF(AND('Mapa de Riesgos'!$H$39="Alta",'Mapa de Riesgos'!$L$39="Leve"),CONCATENATE("R",'Mapa de Riesgos'!$A$39),"")</f>
        <v/>
      </c>
      <c r="M14" s="115" t="str">
        <f ca="1">+IF(AND('Mapa de Riesgos'!$H$53="Alta",'Mapa de Riesgos'!$L$53="Leve"),CONCATENATE("R",'Mapa de Riesgos'!$A$53),"")</f>
        <v/>
      </c>
      <c r="N14" s="115" t="str">
        <f ca="1">+IF(AND('Mapa de Riesgos'!$H$66="Alta",'Mapa de Riesgos'!$L$66="Leve"),CONCATENATE("R",'Mapa de Riesgos'!$A$66),"")</f>
        <v/>
      </c>
      <c r="O14" s="114" t="str">
        <f ca="1">+IF(AND('Mapa de Riesgos'!$H$7="Alta",'Mapa de Riesgos'!$L$7="Menor"),CONCATENATE("R",'Mapa de Riesgos'!$A$7),"")</f>
        <v/>
      </c>
      <c r="P14" s="115" t="str">
        <f ca="1">+IF(AND('Mapa de Riesgos'!$H$27="Alta",'Mapa de Riesgos'!$L$27="Menor"),CONCATENATE("R",'Mapa de Riesgos'!$A$27),"")</f>
        <v/>
      </c>
      <c r="Q14" s="115" t="str">
        <f ca="1">+IF(AND('Mapa de Riesgos'!$H$39="Alta",'Mapa de Riesgos'!$L$39="Menor"),CONCATENATE("R",'Mapa de Riesgos'!$A$39),"")</f>
        <v/>
      </c>
      <c r="R14" s="115" t="str">
        <f ca="1">+IF(AND('Mapa de Riesgos'!$H$53="Alta",'Mapa de Riesgos'!$L$53="Menor"),CONCATENATE("R",'Mapa de Riesgos'!$A$53),"")</f>
        <v/>
      </c>
      <c r="S14" s="115" t="str">
        <f ca="1">+IF(AND('Mapa de Riesgos'!$H$66="Alta",'Mapa de Riesgos'!$L$66="Menor"),CONCATENATE("R",'Mapa de Riesgos'!$A$66),"")</f>
        <v>R33</v>
      </c>
      <c r="T14" s="106" t="str">
        <f ca="1">+IF(AND('Mapa de Riesgos'!$H$7="Alta",'Mapa de Riesgos'!$L$7="Moderado"),CONCATENATE("R",'Mapa de Riesgos'!$A$7),"")</f>
        <v/>
      </c>
      <c r="U14" s="107" t="str">
        <f ca="1">+IF(AND('Mapa de Riesgos'!$H$27="Alta",'Mapa de Riesgos'!$L$27="Moderado"),CONCATENATE("R",'Mapa de Riesgos'!$A$27),"")</f>
        <v/>
      </c>
      <c r="V14" s="107" t="str">
        <f ca="1">+IF(AND('Mapa de Riesgos'!$H$39="Alta",'Mapa de Riesgos'!$L$39="Moderado"),CONCATENATE("R",'Mapa de Riesgos'!$A$39),"")</f>
        <v/>
      </c>
      <c r="W14" s="107" t="str">
        <f ca="1">+IF(AND('Mapa de Riesgos'!$H$53="Alta",'Mapa de Riesgos'!$L$53="Moderado"),CONCATENATE("R",'Mapa de Riesgos'!$A$53),"")</f>
        <v/>
      </c>
      <c r="X14" s="107" t="str">
        <f ca="1">+IF(AND('Mapa de Riesgos'!$H$66="Alta",'Mapa de Riesgos'!$L$66="Moderado"),CONCATENATE("R",'Mapa de Riesgos'!$A$66),"")</f>
        <v/>
      </c>
      <c r="Y14" s="106" t="str">
        <f ca="1">+IF(AND('Mapa de Riesgos'!$H$7="Alta",'Mapa de Riesgos'!$L$7="Mayor"),CONCATENATE("R",'Mapa de Riesgos'!$A$7),"")</f>
        <v/>
      </c>
      <c r="Z14" s="107" t="str">
        <f ca="1">+IF(AND('Mapa de Riesgos'!$H$27="Alta",'Mapa de Riesgos'!$L$27="Mayor"),CONCATENATE("R",'Mapa de Riesgos'!$A$27),"")</f>
        <v/>
      </c>
      <c r="AA14" s="107" t="str">
        <f ca="1">+IF(AND('Mapa de Riesgos'!$H$39="Alta",'Mapa de Riesgos'!$L$39="Mayor"),CONCATENATE("R",'Mapa de Riesgos'!$A$39),"")</f>
        <v/>
      </c>
      <c r="AB14" s="107" t="str">
        <f ca="1">+IF(AND('Mapa de Riesgos'!$H$53="Alta",'Mapa de Riesgos'!$L$53="Mayor"),CONCATENATE("R",'Mapa de Riesgos'!$A$53),"")</f>
        <v/>
      </c>
      <c r="AC14" s="107" t="str">
        <f ca="1">+IF(AND('Mapa de Riesgos'!$H$66="Alta",'Mapa de Riesgos'!$L$66="Mayor"),CONCATENATE("R",'Mapa de Riesgos'!$A$66),"")</f>
        <v/>
      </c>
      <c r="AD14" s="132" t="str">
        <f ca="1">+IF(AND('Mapa de Riesgos'!$H$7="Alta",'Mapa de Riesgos'!$L$7="Catastrófico"),CONCATENATE("R",'Mapa de Riesgos'!$A$7),"")</f>
        <v/>
      </c>
      <c r="AE14" s="127" t="str">
        <f ca="1">+IF(AND('Mapa de Riesgos'!$H$27="Alta",'Mapa de Riesgos'!$L$27="Catastrófico"),CONCATENATE("R",'Mapa de Riesgos'!$A$27),"")</f>
        <v/>
      </c>
      <c r="AF14" s="127" t="str">
        <f ca="1">+IF(AND('Mapa de Riesgos'!$H$39="Alta",'Mapa de Riesgos'!$L$39="Catastrófico"),CONCATENATE("R",'Mapa de Riesgos'!$A$39),"")</f>
        <v/>
      </c>
      <c r="AG14" s="127" t="str">
        <f ca="1">+IF(AND('Mapa de Riesgos'!$H$53="Alta",'Mapa de Riesgos'!$L$53="Catastrófico"),CONCATENATE("R",'Mapa de Riesgos'!$A$53),"")</f>
        <v/>
      </c>
      <c r="AH14" s="128" t="str">
        <f ca="1">+IF(AND('Mapa de Riesgos'!$H$66="Alta",'Mapa de Riesgos'!$L$66="Catastrófico"),CONCATENATE("R",'Mapa de Riesgos'!$A$66),"")</f>
        <v/>
      </c>
      <c r="AI14" s="100"/>
      <c r="AJ14" s="38"/>
      <c r="AK14" s="311" t="s">
        <v>84</v>
      </c>
      <c r="AL14" s="312"/>
      <c r="AM14" s="312"/>
      <c r="AN14" s="312"/>
      <c r="AO14" s="312"/>
      <c r="AP14" s="313"/>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row>
    <row r="15" spans="1:95" ht="18.75" x14ac:dyDescent="0.3">
      <c r="A15" s="38"/>
      <c r="B15" s="294"/>
      <c r="C15" s="294"/>
      <c r="D15" s="295"/>
      <c r="E15" s="298"/>
      <c r="F15" s="299"/>
      <c r="G15" s="299"/>
      <c r="H15" s="299"/>
      <c r="I15" s="299"/>
      <c r="J15" s="117" t="str">
        <f ca="1">+IF(AND('Mapa de Riesgos'!$H$9="Alta",'Mapa de Riesgos'!$L$9="Leve"),CONCATENATE("R",'Mapa de Riesgos'!$A$9),"")</f>
        <v/>
      </c>
      <c r="K15" s="104" t="str">
        <f ca="1">+IF(AND('Mapa de Riesgos'!$H$28="Alta",'Mapa de Riesgos'!$L$28="Leve"),CONCATENATE("R",'Mapa de Riesgos'!$A$28),"")</f>
        <v/>
      </c>
      <c r="L15" s="104" t="str">
        <f ca="1">+IF(AND('Mapa de Riesgos'!$H$40="Alta",'Mapa de Riesgos'!$L$40="Leve"),CONCATENATE("R",'Mapa de Riesgos'!$A$40),"")</f>
        <v/>
      </c>
      <c r="M15" s="104" t="str">
        <f ca="1">+IF(AND('Mapa de Riesgos'!$H$56="Alta",'Mapa de Riesgos'!$L$56="Leve"),CONCATENATE("R",'Mapa de Riesgos'!$A$56),"")</f>
        <v/>
      </c>
      <c r="N15" s="104" t="str">
        <f ca="1">+IF(AND('Mapa de Riesgos'!$H$68="Alta",'Mapa de Riesgos'!$L$68="Leve"),CONCATENATE("R",'Mapa de Riesgos'!$A$68),"")</f>
        <v/>
      </c>
      <c r="O15" s="117" t="str">
        <f ca="1">+IF(AND('Mapa de Riesgos'!$H$9="Alta",'Mapa de Riesgos'!$L$9="Menor"),CONCATENATE("R",'Mapa de Riesgos'!$A$9),"")</f>
        <v/>
      </c>
      <c r="P15" s="104" t="str">
        <f ca="1">+IF(AND('Mapa de Riesgos'!$H$28="Alta",'Mapa de Riesgos'!$L$28="Menor"),CONCATENATE("R",'Mapa de Riesgos'!$A$28),"")</f>
        <v/>
      </c>
      <c r="Q15" s="104" t="str">
        <f ca="1">+IF(AND('Mapa de Riesgos'!$H$40="Alta",'Mapa de Riesgos'!$L$40="Menor"),CONCATENATE("R",'Mapa de Riesgos'!$A$40),"")</f>
        <v/>
      </c>
      <c r="R15" s="104" t="str">
        <f ca="1">+IF(AND('Mapa de Riesgos'!$H$56="Alta",'Mapa de Riesgos'!$L$56="Menor"),CONCATENATE("R",'Mapa de Riesgos'!$A$56),"")</f>
        <v/>
      </c>
      <c r="S15" s="104" t="str">
        <f ca="1">+IF(AND('Mapa de Riesgos'!$H$68="Alta",'Mapa de Riesgos'!$L$68="Menor"),CONCATENATE("R",'Mapa de Riesgos'!$A$68),"")</f>
        <v>R34</v>
      </c>
      <c r="T15" s="109" t="str">
        <f ca="1">+IF(AND('Mapa de Riesgos'!$H$9="Alta",'Mapa de Riesgos'!$L$9="Moderado"),CONCATENATE("R",'Mapa de Riesgos'!$A$9),"")</f>
        <v/>
      </c>
      <c r="U15" s="102" t="str">
        <f ca="1">+IF(AND('Mapa de Riesgos'!$H$28="Alta",'Mapa de Riesgos'!$L$28="Moderado"),CONCATENATE("R",'Mapa de Riesgos'!$A$28),"")</f>
        <v/>
      </c>
      <c r="V15" s="102" t="str">
        <f ca="1">+IF(AND('Mapa de Riesgos'!$H$40="Alta",'Mapa de Riesgos'!$L$40="Moderado"),CONCATENATE("R",'Mapa de Riesgos'!$A$40),"")</f>
        <v/>
      </c>
      <c r="W15" s="102" t="str">
        <f ca="1">+IF(AND('Mapa de Riesgos'!$H$56="Alta",'Mapa de Riesgos'!$L$56="Moderado"),CONCATENATE("R",'Mapa de Riesgos'!$A$56),"")</f>
        <v/>
      </c>
      <c r="X15" s="102" t="str">
        <f ca="1">+IF(AND('Mapa de Riesgos'!$H$68="Alta",'Mapa de Riesgos'!$L$68="Moderado"),CONCATENATE("R",'Mapa de Riesgos'!$A$68),"")</f>
        <v/>
      </c>
      <c r="Y15" s="109" t="str">
        <f ca="1">+IF(AND('Mapa de Riesgos'!$H$9="Alta",'Mapa de Riesgos'!$L$9="Mayor"),CONCATENATE("R",'Mapa de Riesgos'!$A$9),"")</f>
        <v/>
      </c>
      <c r="Z15" s="102" t="str">
        <f ca="1">+IF(AND('Mapa de Riesgos'!$H$28="Alta",'Mapa de Riesgos'!$L$28="Mayor"),CONCATENATE("R",'Mapa de Riesgos'!$A$28),"")</f>
        <v/>
      </c>
      <c r="AA15" s="102" t="str">
        <f ca="1">+IF(AND('Mapa de Riesgos'!$H$40="Alta",'Mapa de Riesgos'!$L$40="Mayor"),CONCATENATE("R",'Mapa de Riesgos'!$A$40),"")</f>
        <v/>
      </c>
      <c r="AB15" s="102" t="str">
        <f ca="1">+IF(AND('Mapa de Riesgos'!$H$56="Alta",'Mapa de Riesgos'!$L$56="Mayor"),CONCATENATE("R",'Mapa de Riesgos'!$A$56),"")</f>
        <v/>
      </c>
      <c r="AC15" s="102" t="str">
        <f ca="1">+IF(AND('Mapa de Riesgos'!$H$68="Alta",'Mapa de Riesgos'!$L$68="Mayor"),CONCATENATE("R",'Mapa de Riesgos'!$A$68),"")</f>
        <v/>
      </c>
      <c r="AD15" s="133" t="str">
        <f ca="1">+IF(AND('Mapa de Riesgos'!$H$9="Alta",'Mapa de Riesgos'!$L$9="Catastrófico"),CONCATENATE("R",'Mapa de Riesgos'!$A$9),"")</f>
        <v/>
      </c>
      <c r="AE15" s="103" t="str">
        <f ca="1">+IF(AND('Mapa de Riesgos'!$H$28="Alta",'Mapa de Riesgos'!$L$28="Catastrófico"),CONCATENATE("R",'Mapa de Riesgos'!$A$28),"")</f>
        <v/>
      </c>
      <c r="AF15" s="103" t="str">
        <f ca="1">+IF(AND('Mapa de Riesgos'!$H$40="Alta",'Mapa de Riesgos'!$L$40="Catastrófico"),CONCATENATE("R",'Mapa de Riesgos'!$A$40),"")</f>
        <v/>
      </c>
      <c r="AG15" s="103" t="str">
        <f ca="1">+IF(AND('Mapa de Riesgos'!$H$56="Alta",'Mapa de Riesgos'!$L$56="Catastrófico"),CONCATENATE("R",'Mapa de Riesgos'!$A$56),"")</f>
        <v/>
      </c>
      <c r="AH15" s="129" t="str">
        <f ca="1">+IF(AND('Mapa de Riesgos'!$H$68="Alta",'Mapa de Riesgos'!$L$68="Catastrófico"),CONCATENATE("R",'Mapa de Riesgos'!$A$68),"")</f>
        <v/>
      </c>
      <c r="AI15" s="100"/>
      <c r="AJ15" s="38"/>
      <c r="AK15" s="314"/>
      <c r="AL15" s="315"/>
      <c r="AM15" s="315"/>
      <c r="AN15" s="315"/>
      <c r="AO15" s="315"/>
      <c r="AP15" s="316"/>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row>
    <row r="16" spans="1:95" ht="18.75" x14ac:dyDescent="0.3">
      <c r="A16" s="38"/>
      <c r="B16" s="294"/>
      <c r="C16" s="294"/>
      <c r="D16" s="295"/>
      <c r="E16" s="298"/>
      <c r="F16" s="299"/>
      <c r="G16" s="299"/>
      <c r="H16" s="299"/>
      <c r="I16" s="299"/>
      <c r="J16" s="117" t="str">
        <f ca="1">+IF(AND('Mapa de Riesgos'!$H$15="Alta",'Mapa de Riesgos'!$L$15="Leve"),CONCATENATE("R",'Mapa de Riesgos'!$A$15),"")</f>
        <v/>
      </c>
      <c r="K16" s="104" t="str">
        <f ca="1">+IF(AND('Mapa de Riesgos'!$H$29="Alta",'Mapa de Riesgos'!$L$29="Leve"),CONCATENATE("R",'Mapa de Riesgos'!$A$29),"")</f>
        <v/>
      </c>
      <c r="L16" s="104" t="str">
        <f ca="1">+IF(AND('Mapa de Riesgos'!$H$42="Alta",'Mapa de Riesgos'!$L$42="Leve"),CONCATENATE("R",'Mapa de Riesgos'!$A$42),"")</f>
        <v/>
      </c>
      <c r="M16" s="104" t="str">
        <f ca="1">+IF(AND('Mapa de Riesgos'!$H$57="Alta",'Mapa de Riesgos'!$L$57="Leve"),CONCATENATE("R",'Mapa de Riesgos'!$A$57),"")</f>
        <v/>
      </c>
      <c r="N16" s="104" t="str">
        <f ca="1">+IF(AND('Mapa de Riesgos'!$H$70="Alta",'Mapa de Riesgos'!$L$70="Leve"),CONCATENATE("R",'Mapa de Riesgos'!$A$70),"")</f>
        <v/>
      </c>
      <c r="O16" s="117" t="str">
        <f ca="1">+IF(AND('Mapa de Riesgos'!$H$15="Alta",'Mapa de Riesgos'!$L$15="Menor"),CONCATENATE("R",'Mapa de Riesgos'!$A$15),"")</f>
        <v/>
      </c>
      <c r="P16" s="104" t="str">
        <f ca="1">+IF(AND('Mapa de Riesgos'!$H$29="Alta",'Mapa de Riesgos'!$L$29="Menor"),CONCATENATE("R",'Mapa de Riesgos'!$A$29),"")</f>
        <v/>
      </c>
      <c r="Q16" s="104" t="str">
        <f ca="1">+IF(AND('Mapa de Riesgos'!$H$42="Alta",'Mapa de Riesgos'!$L$42="Menor"),CONCATENATE("R",'Mapa de Riesgos'!$A$42),"")</f>
        <v/>
      </c>
      <c r="R16" s="104" t="str">
        <f ca="1">+IF(AND('Mapa de Riesgos'!$H$57="Alta",'Mapa de Riesgos'!$L$57="Menor"),CONCATENATE("R",'Mapa de Riesgos'!$A$57),"")</f>
        <v/>
      </c>
      <c r="S16" s="104" t="str">
        <f ca="1">+IF(AND('Mapa de Riesgos'!$H$70="Alta",'Mapa de Riesgos'!$L$70="Menor"),CONCATENATE("R",'Mapa de Riesgos'!$A$70),"")</f>
        <v>R35</v>
      </c>
      <c r="T16" s="109" t="str">
        <f ca="1">+IF(AND('Mapa de Riesgos'!$H$15="Alta",'Mapa de Riesgos'!$L$15="Moderado"),CONCATENATE("R",'Mapa de Riesgos'!$A$15),"")</f>
        <v/>
      </c>
      <c r="U16" s="102" t="str">
        <f ca="1">+IF(AND('Mapa de Riesgos'!$H$29="Alta",'Mapa de Riesgos'!$L$29="Moderado"),CONCATENATE("R",'Mapa de Riesgos'!$A$29),"")</f>
        <v/>
      </c>
      <c r="V16" s="102" t="str">
        <f ca="1">+IF(AND('Mapa de Riesgos'!$H$42="Alta",'Mapa de Riesgos'!$L$42="Moderado"),CONCATENATE("R",'Mapa de Riesgos'!$A$42),"")</f>
        <v/>
      </c>
      <c r="W16" s="102" t="str">
        <f ca="1">+IF(AND('Mapa de Riesgos'!$H$57="Alta",'Mapa de Riesgos'!$L$57="Moderado"),CONCATENATE("R",'Mapa de Riesgos'!$A$57),"")</f>
        <v/>
      </c>
      <c r="X16" s="102" t="str">
        <f ca="1">+IF(AND('Mapa de Riesgos'!$H$70="Alta",'Mapa de Riesgos'!$L$70="Moderado"),CONCATENATE("R",'Mapa de Riesgos'!$A$70),"")</f>
        <v/>
      </c>
      <c r="Y16" s="109" t="str">
        <f ca="1">+IF(AND('Mapa de Riesgos'!$H$15="Alta",'Mapa de Riesgos'!$L$15="Mayor"),CONCATENATE("R",'Mapa de Riesgos'!$A$15),"")</f>
        <v/>
      </c>
      <c r="Z16" s="102" t="str">
        <f ca="1">+IF(AND('Mapa de Riesgos'!$H$29="Alta",'Mapa de Riesgos'!$L$29="Mayor"),CONCATENATE("R",'Mapa de Riesgos'!$A$29),"")</f>
        <v/>
      </c>
      <c r="AA16" s="102" t="str">
        <f ca="1">+IF(AND('Mapa de Riesgos'!$H$42="Alta",'Mapa de Riesgos'!$L$42="Mayor"),CONCATENATE("R",'Mapa de Riesgos'!$A$42),"")</f>
        <v/>
      </c>
      <c r="AB16" s="102" t="str">
        <f ca="1">+IF(AND('Mapa de Riesgos'!$H$57="Alta",'Mapa de Riesgos'!$L$57="Mayor"),CONCATENATE("R",'Mapa de Riesgos'!$A$57),"")</f>
        <v/>
      </c>
      <c r="AC16" s="102" t="str">
        <f ca="1">+IF(AND('Mapa de Riesgos'!$H$70="Alta",'Mapa de Riesgos'!$L$70="Mayor"),CONCATENATE("R",'Mapa de Riesgos'!$A$70),"")</f>
        <v/>
      </c>
      <c r="AD16" s="133" t="str">
        <f ca="1">+IF(AND('Mapa de Riesgos'!$H$15="Alta",'Mapa de Riesgos'!$L$15="Catastrófico"),CONCATENATE("R",'Mapa de Riesgos'!$A$15),"")</f>
        <v/>
      </c>
      <c r="AE16" s="103" t="str">
        <f ca="1">+IF(AND('Mapa de Riesgos'!$H$29="Alta",'Mapa de Riesgos'!$L$29="Catastrófico"),CONCATENATE("R",'Mapa de Riesgos'!$A$29),"")</f>
        <v/>
      </c>
      <c r="AF16" s="103" t="str">
        <f ca="1">+IF(AND('Mapa de Riesgos'!$H$42="Alta",'Mapa de Riesgos'!$L$42="Catastrófico"),CONCATENATE("R",'Mapa de Riesgos'!$A$42),"")</f>
        <v/>
      </c>
      <c r="AG16" s="103" t="str">
        <f ca="1">+IF(AND('Mapa de Riesgos'!$H$57="Alta",'Mapa de Riesgos'!$L$57="Catastrófico"),CONCATENATE("R",'Mapa de Riesgos'!$A$57),"")</f>
        <v/>
      </c>
      <c r="AH16" s="129" t="str">
        <f ca="1">+IF(AND('Mapa de Riesgos'!$H$70="Alta",'Mapa de Riesgos'!$L$70="Catastrófico"),CONCATENATE("R",'Mapa de Riesgos'!$A$70),"")</f>
        <v/>
      </c>
      <c r="AI16" s="100"/>
      <c r="AJ16" s="38"/>
      <c r="AK16" s="314"/>
      <c r="AL16" s="315"/>
      <c r="AM16" s="315"/>
      <c r="AN16" s="315"/>
      <c r="AO16" s="315"/>
      <c r="AP16" s="316"/>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row>
    <row r="17" spans="1:76" ht="18.75" x14ac:dyDescent="0.3">
      <c r="A17" s="38"/>
      <c r="B17" s="294"/>
      <c r="C17" s="294"/>
      <c r="D17" s="295"/>
      <c r="E17" s="298"/>
      <c r="F17" s="299"/>
      <c r="G17" s="299"/>
      <c r="H17" s="299"/>
      <c r="I17" s="299"/>
      <c r="J17" s="117" t="str">
        <f ca="1">+IF(AND('Mapa de Riesgos'!$H$17="Alta",'Mapa de Riesgos'!$L$17="Leve"),CONCATENATE("R",'Mapa de Riesgos'!$A$17),"")</f>
        <v/>
      </c>
      <c r="K17" s="104" t="str">
        <f ca="1">+IF(AND('Mapa de Riesgos'!$H$30="Alta",'Mapa de Riesgos'!$L$30="Leve"),CONCATENATE("R",'Mapa de Riesgos'!$A$30),"")</f>
        <v/>
      </c>
      <c r="L17" s="104" t="str">
        <f ca="1">+IF(AND('Mapa de Riesgos'!$H$44="Alta",'Mapa de Riesgos'!$L$44="Leve"),CONCATENATE("R",'Mapa de Riesgos'!$A$44),"")</f>
        <v/>
      </c>
      <c r="M17" s="104" t="str">
        <f ca="1">+IF(AND('Mapa de Riesgos'!$H$58="Alta",'Mapa de Riesgos'!$L$58="Leve"),CONCATENATE("R",'Mapa de Riesgos'!$A$58),"")</f>
        <v/>
      </c>
      <c r="N17" s="104" t="str">
        <f ca="1">+IF(AND('Mapa de Riesgos'!$H$72="Alta",'Mapa de Riesgos'!$L$72="Leve"),CONCATENATE("R",'Mapa de Riesgos'!$A$72),"")</f>
        <v/>
      </c>
      <c r="O17" s="117" t="str">
        <f ca="1">+IF(AND('Mapa de Riesgos'!$H$17="Alta",'Mapa de Riesgos'!$L$17="Menor"),CONCATENATE("R",'Mapa de Riesgos'!$A$17),"")</f>
        <v/>
      </c>
      <c r="P17" s="104" t="str">
        <f ca="1">+IF(AND('Mapa de Riesgos'!$H$30="Alta",'Mapa de Riesgos'!$L$30="Menor"),CONCATENATE("R",'Mapa de Riesgos'!$A$30),"")</f>
        <v/>
      </c>
      <c r="Q17" s="104" t="str">
        <f ca="1">+IF(AND('Mapa de Riesgos'!$H$44="Alta",'Mapa de Riesgos'!$L$44="Menor"),CONCATENATE("R",'Mapa de Riesgos'!$A$44),"")</f>
        <v/>
      </c>
      <c r="R17" s="104" t="str">
        <f ca="1">+IF(AND('Mapa de Riesgos'!$H$58="Alta",'Mapa de Riesgos'!$L$58="Menor"),CONCATENATE("R",'Mapa de Riesgos'!$A$58),"")</f>
        <v/>
      </c>
      <c r="S17" s="104" t="str">
        <f ca="1">+IF(AND('Mapa de Riesgos'!$H$72="Alta",'Mapa de Riesgos'!$L$72="Menor"),CONCATENATE("R",'Mapa de Riesgos'!$A$72),"")</f>
        <v/>
      </c>
      <c r="T17" s="109" t="str">
        <f ca="1">+IF(AND('Mapa de Riesgos'!$H$17="Alta",'Mapa de Riesgos'!$L$17="Moderado"),CONCATENATE("R",'Mapa de Riesgos'!$A$17),"")</f>
        <v/>
      </c>
      <c r="U17" s="102" t="str">
        <f ca="1">+IF(AND('Mapa de Riesgos'!$H$30="Alta",'Mapa de Riesgos'!$L$30="Moderado"),CONCATENATE("R",'Mapa de Riesgos'!$A$30),"")</f>
        <v/>
      </c>
      <c r="V17" s="102" t="str">
        <f ca="1">+IF(AND('Mapa de Riesgos'!$H$44="Alta",'Mapa de Riesgos'!$L$44="Moderado"),CONCATENATE("R",'Mapa de Riesgos'!$A$44),"")</f>
        <v/>
      </c>
      <c r="W17" s="102" t="str">
        <f ca="1">+IF(AND('Mapa de Riesgos'!$H$58="Alta",'Mapa de Riesgos'!$L$58="Moderado"),CONCATENATE("R",'Mapa de Riesgos'!$A$58),"")</f>
        <v/>
      </c>
      <c r="X17" s="102" t="str">
        <f ca="1">+IF(AND('Mapa de Riesgos'!$H$72="Alta",'Mapa de Riesgos'!$L$72="Moderado"),CONCATENATE("R",'Mapa de Riesgos'!$A$72),"")</f>
        <v/>
      </c>
      <c r="Y17" s="109" t="str">
        <f ca="1">+IF(AND('Mapa de Riesgos'!$H$17="Alta",'Mapa de Riesgos'!$L$17="Mayor"),CONCATENATE("R",'Mapa de Riesgos'!$A$17),"")</f>
        <v/>
      </c>
      <c r="Z17" s="102" t="str">
        <f ca="1">+IF(AND('Mapa de Riesgos'!$H$30="Alta",'Mapa de Riesgos'!$L$30="Mayor"),CONCATENATE("R",'Mapa de Riesgos'!$A$30),"")</f>
        <v/>
      </c>
      <c r="AA17" s="102" t="str">
        <f ca="1">+IF(AND('Mapa de Riesgos'!$H$44="Alta",'Mapa de Riesgos'!$L$44="Mayor"),CONCATENATE("R",'Mapa de Riesgos'!$A$44),"")</f>
        <v/>
      </c>
      <c r="AB17" s="102" t="str">
        <f ca="1">+IF(AND('Mapa de Riesgos'!$H$58="Alta",'Mapa de Riesgos'!$L$58="Mayor"),CONCATENATE("R",'Mapa de Riesgos'!$A$58),"")</f>
        <v/>
      </c>
      <c r="AC17" s="102" t="str">
        <f ca="1">+IF(AND('Mapa de Riesgos'!$H$72="Alta",'Mapa de Riesgos'!$L$72="Mayor"),CONCATENATE("R",'Mapa de Riesgos'!$A$72),"")</f>
        <v/>
      </c>
      <c r="AD17" s="133" t="str">
        <f ca="1">+IF(AND('Mapa de Riesgos'!$H$17="Alta",'Mapa de Riesgos'!$L$17="Catastrófico"),CONCATENATE("R",'Mapa de Riesgos'!$A$17),"")</f>
        <v/>
      </c>
      <c r="AE17" s="103" t="str">
        <f ca="1">+IF(AND('Mapa de Riesgos'!$H$30="Alta",'Mapa de Riesgos'!$L$30="Catastrófico"),CONCATENATE("R",'Mapa de Riesgos'!$A$30),"")</f>
        <v/>
      </c>
      <c r="AF17" s="103" t="str">
        <f ca="1">+IF(AND('Mapa de Riesgos'!$H$44="Alta",'Mapa de Riesgos'!$L$44="Catastrófico"),CONCATENATE("R",'Mapa de Riesgos'!$A$44),"")</f>
        <v/>
      </c>
      <c r="AG17" s="103" t="str">
        <f ca="1">+IF(AND('Mapa de Riesgos'!$H$58="Alta",'Mapa de Riesgos'!$L$58="Catastrófico"),CONCATENATE("R",'Mapa de Riesgos'!$A$58),"")</f>
        <v/>
      </c>
      <c r="AH17" s="129" t="str">
        <f ca="1">+IF(AND('Mapa de Riesgos'!$H$72="Alta",'Mapa de Riesgos'!$L$72="Catastrófico"),CONCATENATE("R",'Mapa de Riesgos'!$A$72),"")</f>
        <v/>
      </c>
      <c r="AI17" s="100"/>
      <c r="AJ17" s="38"/>
      <c r="AK17" s="314"/>
      <c r="AL17" s="315"/>
      <c r="AM17" s="315"/>
      <c r="AN17" s="315"/>
      <c r="AO17" s="315"/>
      <c r="AP17" s="316"/>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row>
    <row r="18" spans="1:76" ht="18.75" x14ac:dyDescent="0.3">
      <c r="A18" s="38"/>
      <c r="B18" s="294"/>
      <c r="C18" s="294"/>
      <c r="D18" s="295"/>
      <c r="E18" s="298"/>
      <c r="F18" s="299"/>
      <c r="G18" s="299"/>
      <c r="H18" s="299"/>
      <c r="I18" s="299"/>
      <c r="J18" s="117" t="str">
        <f ca="1">+IF(AND('Mapa de Riesgos'!$H$19="Alta",'Mapa de Riesgos'!$L$19="Leve"),CONCATENATE("R",'Mapa de Riesgos'!$A$19),"")</f>
        <v/>
      </c>
      <c r="K18" s="104" t="str">
        <f ca="1">+IF(AND('Mapa de Riesgos'!$H$32="Alta",'Mapa de Riesgos'!$L$32="Leve"),CONCATENATE("R",'Mapa de Riesgos'!$A$32),"")</f>
        <v/>
      </c>
      <c r="L18" s="104" t="str">
        <f ca="1">+IF(AND('Mapa de Riesgos'!$H$45="Alta",'Mapa de Riesgos'!$L$45="Leve"),CONCATENATE("R",'Mapa de Riesgos'!$A$45),"")</f>
        <v/>
      </c>
      <c r="M18" s="104" t="str">
        <f ca="1">+IF(AND('Mapa de Riesgos'!$H$60="Alta",'Mapa de Riesgos'!$L$60="Leve"),CONCATENATE("R",'Mapa de Riesgos'!$A$60),"")</f>
        <v/>
      </c>
      <c r="N18" s="104" t="str">
        <f>+IF(AND('Mapa de Riesgos'!$H$76="Alta",'Mapa de Riesgos'!$L$76="Leve"),CONCATENATE("R",'Mapa de Riesgos'!$A$76),"")</f>
        <v/>
      </c>
      <c r="O18" s="117" t="str">
        <f ca="1">+IF(AND('Mapa de Riesgos'!$H$19="Alta",'Mapa de Riesgos'!$L$19="Menor"),CONCATENATE("R",'Mapa de Riesgos'!$A$19),"")</f>
        <v/>
      </c>
      <c r="P18" s="104" t="str">
        <f ca="1">+IF(AND('Mapa de Riesgos'!$H$32="Alta",'Mapa de Riesgos'!$L$32="Menor"),CONCATENATE("R",'Mapa de Riesgos'!$A$32),"")</f>
        <v/>
      </c>
      <c r="Q18" s="104" t="str">
        <f ca="1">+IF(AND('Mapa de Riesgos'!$H$45="Alta",'Mapa de Riesgos'!$L$45="Menor"),CONCATENATE("R",'Mapa de Riesgos'!$A$45),"")</f>
        <v/>
      </c>
      <c r="R18" s="104" t="str">
        <f ca="1">+IF(AND('Mapa de Riesgos'!$H$60="Alta",'Mapa de Riesgos'!$L$60="Menor"),CONCATENATE("R",'Mapa de Riesgos'!$A$60),"")</f>
        <v/>
      </c>
      <c r="S18" s="104" t="str">
        <f>+IF(AND('Mapa de Riesgos'!$H$76="Alta",'Mapa de Riesgos'!$L$76="Menor"),CONCATENATE("R",'Mapa de Riesgos'!$A$76),"")</f>
        <v/>
      </c>
      <c r="T18" s="109" t="str">
        <f ca="1">+IF(AND('Mapa de Riesgos'!$H$19="Alta",'Mapa de Riesgos'!$L$19="Moderado"),CONCATENATE("R",'Mapa de Riesgos'!$A$19),"")</f>
        <v/>
      </c>
      <c r="U18" s="102" t="str">
        <f ca="1">+IF(AND('Mapa de Riesgos'!$H$32="Alta",'Mapa de Riesgos'!$L$32="Moderado"),CONCATENATE("R",'Mapa de Riesgos'!$A$32),"")</f>
        <v/>
      </c>
      <c r="V18" s="102" t="str">
        <f ca="1">+IF(AND('Mapa de Riesgos'!$H$45="Alta",'Mapa de Riesgos'!$L$45="Moderado"),CONCATENATE("R",'Mapa de Riesgos'!$A$45),"")</f>
        <v/>
      </c>
      <c r="W18" s="102" t="str">
        <f ca="1">+IF(AND('Mapa de Riesgos'!$H$60="Alta",'Mapa de Riesgos'!$L$60="Moderado"),CONCATENATE("R",'Mapa de Riesgos'!$A$60),"")</f>
        <v/>
      </c>
      <c r="X18" s="102" t="str">
        <f>+IF(AND('Mapa de Riesgos'!$H$76="Alta",'Mapa de Riesgos'!$L$76="Moderado"),CONCATENATE("R",'Mapa de Riesgos'!$A$76),"")</f>
        <v/>
      </c>
      <c r="Y18" s="109" t="str">
        <f ca="1">+IF(AND('Mapa de Riesgos'!$H$19="Alta",'Mapa de Riesgos'!$L$19="Mayor"),CONCATENATE("R",'Mapa de Riesgos'!$A$19),"")</f>
        <v/>
      </c>
      <c r="Z18" s="102" t="str">
        <f ca="1">+IF(AND('Mapa de Riesgos'!$H$32="Alta",'Mapa de Riesgos'!$L$32="Mayor"),CONCATENATE("R",'Mapa de Riesgos'!$A$32),"")</f>
        <v/>
      </c>
      <c r="AA18" s="102" t="str">
        <f ca="1">+IF(AND('Mapa de Riesgos'!$H$45="Alta",'Mapa de Riesgos'!$L$45="Mayor"),CONCATENATE("R",'Mapa de Riesgos'!$A$45),"")</f>
        <v>R21</v>
      </c>
      <c r="AB18" s="102" t="str">
        <f ca="1">+IF(AND('Mapa de Riesgos'!$H$60="Alta",'Mapa de Riesgos'!$L$60="Mayor"),CONCATENATE("R",'Mapa de Riesgos'!$A$60),"")</f>
        <v/>
      </c>
      <c r="AC18" s="102" t="str">
        <f>+IF(AND('Mapa de Riesgos'!$H$76="Alta",'Mapa de Riesgos'!$L$76="Mayor"),CONCATENATE("R",'Mapa de Riesgos'!$A$76),"")</f>
        <v/>
      </c>
      <c r="AD18" s="133" t="str">
        <f ca="1">+IF(AND('Mapa de Riesgos'!$H$19="Alta",'Mapa de Riesgos'!$L$19="Catastrófico"),CONCATENATE("R",'Mapa de Riesgos'!$A$19),"")</f>
        <v/>
      </c>
      <c r="AE18" s="103" t="str">
        <f ca="1">+IF(AND('Mapa de Riesgos'!$H$32="Alta",'Mapa de Riesgos'!$L$32="Catastrófico"),CONCATENATE("R",'Mapa de Riesgos'!$A$32),"")</f>
        <v/>
      </c>
      <c r="AF18" s="103" t="str">
        <f ca="1">+IF(AND('Mapa de Riesgos'!$H$45="Alta",'Mapa de Riesgos'!$L$45="Catastrófico"),CONCATENATE("R",'Mapa de Riesgos'!$A$45),"")</f>
        <v/>
      </c>
      <c r="AG18" s="103" t="str">
        <f ca="1">+IF(AND('Mapa de Riesgos'!$H$60="Alta",'Mapa de Riesgos'!$L$60="Catastrófico"),CONCATENATE("R",'Mapa de Riesgos'!$A$60),"")</f>
        <v/>
      </c>
      <c r="AH18" s="129" t="str">
        <f>+IF(AND('Mapa de Riesgos'!$H$76="Alta",'Mapa de Riesgos'!$L$76="Catastrófico"),CONCATENATE("R",'Mapa de Riesgos'!$A$76),"")</f>
        <v/>
      </c>
      <c r="AI18" s="100"/>
      <c r="AJ18" s="38"/>
      <c r="AK18" s="314"/>
      <c r="AL18" s="315"/>
      <c r="AM18" s="315"/>
      <c r="AN18" s="315"/>
      <c r="AO18" s="315"/>
      <c r="AP18" s="316"/>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row>
    <row r="19" spans="1:76" ht="18.75" x14ac:dyDescent="0.3">
      <c r="A19" s="38"/>
      <c r="B19" s="294"/>
      <c r="C19" s="294"/>
      <c r="D19" s="295"/>
      <c r="E19" s="298"/>
      <c r="F19" s="299"/>
      <c r="G19" s="299"/>
      <c r="H19" s="299"/>
      <c r="I19" s="299"/>
      <c r="J19" s="117" t="str">
        <f ca="1">+IF(AND('Mapa de Riesgos'!$H$21="Alta",'Mapa de Riesgos'!$L$21="Leve"),CONCATENATE("R",'Mapa de Riesgos'!$A$21),"")</f>
        <v/>
      </c>
      <c r="K19" s="104" t="str">
        <f ca="1">+IF(AND('Mapa de Riesgos'!$H$34="Alta",'Mapa de Riesgos'!$L$34="Leve"),CONCATENATE("R",'Mapa de Riesgos'!$A$34),"")</f>
        <v/>
      </c>
      <c r="L19" s="104" t="e">
        <f>+IF(AND('Mapa de Riesgos'!#REF!="Alta",'Mapa de Riesgos'!#REF!="Leve"),CONCATENATE("R",'Mapa de Riesgos'!#REF!),"")</f>
        <v>#REF!</v>
      </c>
      <c r="M19" s="104" t="str">
        <f ca="1">+IF(AND('Mapa de Riesgos'!$H$61="Alta",'Mapa de Riesgos'!$L$61="Leve"),CONCATENATE("R",'Mapa de Riesgos'!$A$61),"")</f>
        <v/>
      </c>
      <c r="N19" s="104" t="str">
        <f>+IF(AND('Mapa de Riesgos'!$H$82="Alta",'Mapa de Riesgos'!$L$82="Leve"),CONCATENATE("R",'Mapa de Riesgos'!$A$82),"")</f>
        <v/>
      </c>
      <c r="O19" s="117" t="str">
        <f ca="1">+IF(AND('Mapa de Riesgos'!$H$21="Alta",'Mapa de Riesgos'!$L$21="Menor"),CONCATENATE("R",'Mapa de Riesgos'!$A$21),"")</f>
        <v>R6</v>
      </c>
      <c r="P19" s="104" t="str">
        <f ca="1">+IF(AND('Mapa de Riesgos'!$H$34="Alta",'Mapa de Riesgos'!$L$34="Menor"),CONCATENATE("R",'Mapa de Riesgos'!$A$34),"")</f>
        <v/>
      </c>
      <c r="Q19" s="104" t="e">
        <f>+IF(AND('Mapa de Riesgos'!#REF!="Alta",'Mapa de Riesgos'!#REF!="Menor"),CONCATENATE("R",'Mapa de Riesgos'!#REF!),"")</f>
        <v>#REF!</v>
      </c>
      <c r="R19" s="104" t="str">
        <f ca="1">+IF(AND('Mapa de Riesgos'!$H$61="Alta",'Mapa de Riesgos'!$L$61="Menor"),CONCATENATE("R",'Mapa de Riesgos'!$A$61),"")</f>
        <v/>
      </c>
      <c r="S19" s="104" t="str">
        <f>+IF(AND('Mapa de Riesgos'!$H$82="Alta",'Mapa de Riesgos'!$L$82="Menor"),CONCATENATE("R",'Mapa de Riesgos'!$A$82),"")</f>
        <v/>
      </c>
      <c r="T19" s="109" t="str">
        <f ca="1">+IF(AND('Mapa de Riesgos'!$H$21="Alta",'Mapa de Riesgos'!$L$21="Moderado"),CONCATENATE("R",'Mapa de Riesgos'!$A$21),"")</f>
        <v/>
      </c>
      <c r="U19" s="102" t="str">
        <f ca="1">+IF(AND('Mapa de Riesgos'!$H$34="Alta",'Mapa de Riesgos'!$L$34="Moderado"),CONCATENATE("R",'Mapa de Riesgos'!$A$34),"")</f>
        <v/>
      </c>
      <c r="V19" s="102" t="e">
        <f>+IF(AND('Mapa de Riesgos'!#REF!="Alta",'Mapa de Riesgos'!#REF!="Moderado"),CONCATENATE("R",'Mapa de Riesgos'!#REF!),"")</f>
        <v>#REF!</v>
      </c>
      <c r="W19" s="102" t="str">
        <f ca="1">+IF(AND('Mapa de Riesgos'!$H$61="Alta",'Mapa de Riesgos'!$L$61="Moderado"),CONCATENATE("R",'Mapa de Riesgos'!$A$61),"")</f>
        <v/>
      </c>
      <c r="X19" s="102" t="str">
        <f>+IF(AND('Mapa de Riesgos'!$H$82="Alta",'Mapa de Riesgos'!$L$82="Moderado"),CONCATENATE("R",'Mapa de Riesgos'!$A$82),"")</f>
        <v/>
      </c>
      <c r="Y19" s="109" t="str">
        <f ca="1">+IF(AND('Mapa de Riesgos'!$H$21="Alta",'Mapa de Riesgos'!$L$21="Mayor"),CONCATENATE("R",'Mapa de Riesgos'!$A$21),"")</f>
        <v/>
      </c>
      <c r="Z19" s="102" t="str">
        <f ca="1">+IF(AND('Mapa de Riesgos'!$H$34="Alta",'Mapa de Riesgos'!$L$34="Mayor"),CONCATENATE("R",'Mapa de Riesgos'!$A$34),"")</f>
        <v/>
      </c>
      <c r="AA19" s="102" t="e">
        <f>+IF(AND('Mapa de Riesgos'!#REF!="Alta",'Mapa de Riesgos'!#REF!="Mayor"),CONCATENATE("R",'Mapa de Riesgos'!#REF!),"")</f>
        <v>#REF!</v>
      </c>
      <c r="AB19" s="102" t="str">
        <f ca="1">+IF(AND('Mapa de Riesgos'!$H$61="Alta",'Mapa de Riesgos'!$L$61="Mayor"),CONCATENATE("R",'Mapa de Riesgos'!$A$61),"")</f>
        <v/>
      </c>
      <c r="AC19" s="102" t="str">
        <f>+IF(AND('Mapa de Riesgos'!$H$82="Alta",'Mapa de Riesgos'!$L$82="Mayor"),CONCATENATE("R",'Mapa de Riesgos'!$A$82),"")</f>
        <v/>
      </c>
      <c r="AD19" s="133" t="str">
        <f ca="1">+IF(AND('Mapa de Riesgos'!$H$21="Alta",'Mapa de Riesgos'!$L$21="Catastrófico"),CONCATENATE("R",'Mapa de Riesgos'!$A$21),"")</f>
        <v/>
      </c>
      <c r="AE19" s="103" t="str">
        <f ca="1">+IF(AND('Mapa de Riesgos'!$H$34="Alta",'Mapa de Riesgos'!$L$34="Catastrófico"),CONCATENATE("R",'Mapa de Riesgos'!$A$34),"")</f>
        <v/>
      </c>
      <c r="AF19" s="103" t="e">
        <f>+IF(AND('Mapa de Riesgos'!#REF!="Alta",'Mapa de Riesgos'!#REF!="Catastrófico"),CONCATENATE("R",'Mapa de Riesgos'!#REF!),"")</f>
        <v>#REF!</v>
      </c>
      <c r="AG19" s="103" t="str">
        <f ca="1">+IF(AND('Mapa de Riesgos'!$H$61="Alta",'Mapa de Riesgos'!$L$61="Catastrófico"),CONCATENATE("R",'Mapa de Riesgos'!$A$61),"")</f>
        <v/>
      </c>
      <c r="AH19" s="129" t="str">
        <f>+IF(AND('Mapa de Riesgos'!$H$82="Alta",'Mapa de Riesgos'!$L$82="Catastrófico"),CONCATENATE("R",'Mapa de Riesgos'!$A$82),"")</f>
        <v/>
      </c>
      <c r="AI19" s="100"/>
      <c r="AJ19" s="38"/>
      <c r="AK19" s="314"/>
      <c r="AL19" s="315"/>
      <c r="AM19" s="315"/>
      <c r="AN19" s="315"/>
      <c r="AO19" s="315"/>
      <c r="AP19" s="316"/>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row>
    <row r="20" spans="1:76" ht="18.75" x14ac:dyDescent="0.3">
      <c r="A20" s="38"/>
      <c r="B20" s="294"/>
      <c r="C20" s="294"/>
      <c r="D20" s="295"/>
      <c r="E20" s="298"/>
      <c r="F20" s="299"/>
      <c r="G20" s="299"/>
      <c r="H20" s="299"/>
      <c r="I20" s="299"/>
      <c r="J20" s="117" t="str">
        <f ca="1">+IF(AND('Mapa de Riesgos'!$H$23="Alta",'Mapa de Riesgos'!$L$23="Leve"),CONCATENATE("R",'Mapa de Riesgos'!$A$23),"")</f>
        <v/>
      </c>
      <c r="K20" s="104" t="str">
        <f ca="1">+IF(AND('Mapa de Riesgos'!$H$36="Alta",'Mapa de Riesgos'!$L$36="Leve"),CONCATENATE("R",'Mapa de Riesgos'!$A$36),"")</f>
        <v/>
      </c>
      <c r="L20" s="104" t="str">
        <f ca="1">+IF(AND('Mapa de Riesgos'!$H$48="Alta",'Mapa de Riesgos'!$L$48="Leve"),CONCATENATE("R",'Mapa de Riesgos'!$A$48),"")</f>
        <v/>
      </c>
      <c r="M20" s="104" t="str">
        <f ca="1">+IF(AND('Mapa de Riesgos'!$H$63="Alta",'Mapa de Riesgos'!$L$63="Leve"),CONCATENATE("R",'Mapa de Riesgos'!$A$63),"")</f>
        <v/>
      </c>
      <c r="N20" s="104" t="str">
        <f>+IF(AND('Mapa de Riesgos'!$H$88="Alta",'Mapa de Riesgos'!$L$88="Leve"),CONCATENATE("R",'Mapa de Riesgos'!$A$88),"")</f>
        <v/>
      </c>
      <c r="O20" s="117" t="str">
        <f ca="1">+IF(AND('Mapa de Riesgos'!$H$23="Alta",'Mapa de Riesgos'!$L$23="Menor"),CONCATENATE("R",'Mapa de Riesgos'!$A$23),"")</f>
        <v/>
      </c>
      <c r="P20" s="104" t="str">
        <f ca="1">+IF(AND('Mapa de Riesgos'!$H$36="Alta",'Mapa de Riesgos'!$L$36="Menor"),CONCATENATE("R",'Mapa de Riesgos'!$A$36),"")</f>
        <v/>
      </c>
      <c r="Q20" s="104" t="str">
        <f ca="1">+IF(AND('Mapa de Riesgos'!$H$48="Alta",'Mapa de Riesgos'!$L$48="Menor"),CONCATENATE("R",'Mapa de Riesgos'!$A$48),"")</f>
        <v/>
      </c>
      <c r="R20" s="104" t="str">
        <f ca="1">+IF(AND('Mapa de Riesgos'!$H$63="Alta",'Mapa de Riesgos'!$L$63="Menor"),CONCATENATE("R",'Mapa de Riesgos'!$A$63),"")</f>
        <v/>
      </c>
      <c r="S20" s="104" t="str">
        <f>+IF(AND('Mapa de Riesgos'!$H$88="Alta",'Mapa de Riesgos'!$L$88="Menor"),CONCATENATE("R",'Mapa de Riesgos'!$A$88),"")</f>
        <v/>
      </c>
      <c r="T20" s="109" t="str">
        <f ca="1">+IF(AND('Mapa de Riesgos'!$H$23="Alta",'Mapa de Riesgos'!$L$23="Moderado"),CONCATENATE("R",'Mapa de Riesgos'!$A$23),"")</f>
        <v/>
      </c>
      <c r="U20" s="102" t="str">
        <f ca="1">+IF(AND('Mapa de Riesgos'!$H$36="Alta",'Mapa de Riesgos'!$L$36="Moderado"),CONCATENATE("R",'Mapa de Riesgos'!$A$36),"")</f>
        <v/>
      </c>
      <c r="V20" s="102" t="str">
        <f ca="1">+IF(AND('Mapa de Riesgos'!$H$48="Alta",'Mapa de Riesgos'!$L$48="Moderado"),CONCATENATE("R",'Mapa de Riesgos'!$A$48),"")</f>
        <v/>
      </c>
      <c r="W20" s="102" t="str">
        <f ca="1">+IF(AND('Mapa de Riesgos'!$H$63="Alta",'Mapa de Riesgos'!$L$63="Moderado"),CONCATENATE("R",'Mapa de Riesgos'!$A$63),"")</f>
        <v/>
      </c>
      <c r="X20" s="102" t="str">
        <f>+IF(AND('Mapa de Riesgos'!$H$88="Alta",'Mapa de Riesgos'!$L$88="Moderado"),CONCATENATE("R",'Mapa de Riesgos'!$A$88),"")</f>
        <v/>
      </c>
      <c r="Y20" s="109" t="str">
        <f ca="1">+IF(AND('Mapa de Riesgos'!$H$23="Alta",'Mapa de Riesgos'!$L$23="Mayor"),CONCATENATE("R",'Mapa de Riesgos'!$A$23),"")</f>
        <v/>
      </c>
      <c r="Z20" s="102" t="str">
        <f ca="1">+IF(AND('Mapa de Riesgos'!$H$36="Alta",'Mapa de Riesgos'!$L$36="Mayor"),CONCATENATE("R",'Mapa de Riesgos'!$A$36),"")</f>
        <v/>
      </c>
      <c r="AA20" s="102" t="str">
        <f ca="1">+IF(AND('Mapa de Riesgos'!$H$48="Alta",'Mapa de Riesgos'!$L$48="Mayor"),CONCATENATE("R",'Mapa de Riesgos'!$A$48),"")</f>
        <v/>
      </c>
      <c r="AB20" s="102" t="str">
        <f ca="1">+IF(AND('Mapa de Riesgos'!$H$63="Alta",'Mapa de Riesgos'!$L$63="Mayor"),CONCATENATE("R",'Mapa de Riesgos'!$A$63),"")</f>
        <v/>
      </c>
      <c r="AC20" s="102" t="str">
        <f>+IF(AND('Mapa de Riesgos'!$H$88="Alta",'Mapa de Riesgos'!$L$88="Mayor"),CONCATENATE("R",'Mapa de Riesgos'!$A$88),"")</f>
        <v/>
      </c>
      <c r="AD20" s="133" t="str">
        <f ca="1">+IF(AND('Mapa de Riesgos'!$H$23="Alta",'Mapa de Riesgos'!$L$23="Catastrófico"),CONCATENATE("R",'Mapa de Riesgos'!$A$23),"")</f>
        <v/>
      </c>
      <c r="AE20" s="103" t="str">
        <f ca="1">+IF(AND('Mapa de Riesgos'!$H$36="Alta",'Mapa de Riesgos'!$L$36="Catastrófico"),CONCATENATE("R",'Mapa de Riesgos'!$A$36),"")</f>
        <v/>
      </c>
      <c r="AF20" s="103" t="str">
        <f ca="1">+IF(AND('Mapa de Riesgos'!$H$48="Alta",'Mapa de Riesgos'!$L$48="Catastrófico"),CONCATENATE("R",'Mapa de Riesgos'!$A$48),"")</f>
        <v/>
      </c>
      <c r="AG20" s="103" t="str">
        <f ca="1">+IF(AND('Mapa de Riesgos'!$H$63="Alta",'Mapa de Riesgos'!$L$63="Catastrófico"),CONCATENATE("R",'Mapa de Riesgos'!$A$63),"")</f>
        <v/>
      </c>
      <c r="AH20" s="129" t="str">
        <f>+IF(AND('Mapa de Riesgos'!$H$88="Alta",'Mapa de Riesgos'!$L$88="Catastrófico"),CONCATENATE("R",'Mapa de Riesgos'!$A$88),"")</f>
        <v/>
      </c>
      <c r="AI20" s="100"/>
      <c r="AJ20" s="38"/>
      <c r="AK20" s="314"/>
      <c r="AL20" s="315"/>
      <c r="AM20" s="315"/>
      <c r="AN20" s="315"/>
      <c r="AO20" s="315"/>
      <c r="AP20" s="316"/>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row>
    <row r="21" spans="1:76" ht="19.5" thickBot="1" x14ac:dyDescent="0.35">
      <c r="A21" s="38"/>
      <c r="B21" s="294"/>
      <c r="C21" s="294"/>
      <c r="D21" s="295"/>
      <c r="E21" s="300"/>
      <c r="F21" s="301"/>
      <c r="G21" s="301"/>
      <c r="H21" s="301"/>
      <c r="I21" s="301"/>
      <c r="J21" s="117" t="str">
        <f ca="1">+IF(AND('Mapa de Riesgos'!$H$26="Alta",'Mapa de Riesgos'!$L$26="Leve"),CONCATENATE("R",'Mapa de Riesgos'!$A$26),"")</f>
        <v/>
      </c>
      <c r="K21" s="104" t="str">
        <f ca="1">+IF(AND('Mapa de Riesgos'!$H$37="Alta",'Mapa de Riesgos'!$L$37="Leve"),CONCATENATE("R",'Mapa de Riesgos'!$A$37),"")</f>
        <v/>
      </c>
      <c r="L21" s="104" t="str">
        <f ca="1">+IF(AND('Mapa de Riesgos'!$H$51="Alta",'Mapa de Riesgos'!$L$51="Leve"),CONCATENATE("R",'Mapa de Riesgos'!$A$51),"")</f>
        <v/>
      </c>
      <c r="M21" s="104" t="str">
        <f ca="1">+IF(AND('Mapa de Riesgos'!$H$64="Alta",'Mapa de Riesgos'!$L$64="Leve"),CONCATENATE("R",'Mapa de Riesgos'!$A$64),"")</f>
        <v/>
      </c>
      <c r="N21" s="104" t="str">
        <f>+IF(AND('Mapa de Riesgos'!$H$94="Alta",'Mapa de Riesgos'!$L$94="Leve"),CONCATENATE("R",'Mapa de Riesgos'!$A$94),"")</f>
        <v/>
      </c>
      <c r="O21" s="117" t="str">
        <f ca="1">+IF(AND('Mapa de Riesgos'!$H$26="Alta",'Mapa de Riesgos'!$L$26="Menor"),CONCATENATE("R",'Mapa de Riesgos'!$A$26),"")</f>
        <v/>
      </c>
      <c r="P21" s="104" t="str">
        <f ca="1">+IF(AND('Mapa de Riesgos'!$H$37="Alta",'Mapa de Riesgos'!$L$37="Menor"),CONCATENATE("R",'Mapa de Riesgos'!$A$37),"")</f>
        <v/>
      </c>
      <c r="Q21" s="104" t="str">
        <f ca="1">+IF(AND('Mapa de Riesgos'!$H$51="Alta",'Mapa de Riesgos'!$L$51="Menor"),CONCATENATE("R",'Mapa de Riesgos'!$A$51),"")</f>
        <v/>
      </c>
      <c r="R21" s="104" t="str">
        <f ca="1">+IF(AND('Mapa de Riesgos'!$H$64="Alta",'Mapa de Riesgos'!$L$64="Menor"),CONCATENATE("R",'Mapa de Riesgos'!$A$64),"")</f>
        <v>R32</v>
      </c>
      <c r="S21" s="104" t="str">
        <f>+IF(AND('Mapa de Riesgos'!$H$94="Alta",'Mapa de Riesgos'!$L$94="Menor"),CONCATENATE("R",'Mapa de Riesgos'!$A$94),"")</f>
        <v/>
      </c>
      <c r="T21" s="109" t="str">
        <f ca="1">+IF(AND('Mapa de Riesgos'!$H$26="Alta",'Mapa de Riesgos'!$L$26="Moderado"),CONCATENATE("R",'Mapa de Riesgos'!$A$26),"")</f>
        <v/>
      </c>
      <c r="U21" s="102" t="str">
        <f ca="1">+IF(AND('Mapa de Riesgos'!$H$37="Alta",'Mapa de Riesgos'!$L$37="Moderado"),CONCATENATE("R",'Mapa de Riesgos'!$A$37),"")</f>
        <v/>
      </c>
      <c r="V21" s="102" t="str">
        <f ca="1">+IF(AND('Mapa de Riesgos'!$H$51="Alta",'Mapa de Riesgos'!$L$51="Moderado"),CONCATENATE("R",'Mapa de Riesgos'!$A$51),"")</f>
        <v/>
      </c>
      <c r="W21" s="102" t="str">
        <f ca="1">+IF(AND('Mapa de Riesgos'!$H$64="Alta",'Mapa de Riesgos'!$L$64="Moderado"),CONCATENATE("R",'Mapa de Riesgos'!$A$64),"")</f>
        <v/>
      </c>
      <c r="X21" s="102" t="str">
        <f>+IF(AND('Mapa de Riesgos'!$H$94="Alta",'Mapa de Riesgos'!$L$94="Moderado"),CONCATENATE("R",'Mapa de Riesgos'!$A$94),"")</f>
        <v/>
      </c>
      <c r="Y21" s="109" t="str">
        <f ca="1">+IF(AND('Mapa de Riesgos'!$H$26="Alta",'Mapa de Riesgos'!$L$26="Mayor"),CONCATENATE("R",'Mapa de Riesgos'!$A$26),"")</f>
        <v/>
      </c>
      <c r="Z21" s="102" t="str">
        <f ca="1">+IF(AND('Mapa de Riesgos'!$H$37="Alta",'Mapa de Riesgos'!$L$37="Mayor"),CONCATENATE("R",'Mapa de Riesgos'!$A$37),"")</f>
        <v/>
      </c>
      <c r="AA21" s="102" t="str">
        <f ca="1">+IF(AND('Mapa de Riesgos'!$H$51="Alta",'Mapa de Riesgos'!$L$51="Mayor"),CONCATENATE("R",'Mapa de Riesgos'!$A$51),"")</f>
        <v/>
      </c>
      <c r="AB21" s="102" t="str">
        <f ca="1">+IF(AND('Mapa de Riesgos'!$H$64="Alta",'Mapa de Riesgos'!$L$64="Mayor"),CONCATENATE("R",'Mapa de Riesgos'!$A$64),"")</f>
        <v/>
      </c>
      <c r="AC21" s="102" t="str">
        <f>+IF(AND('Mapa de Riesgos'!$H$94="Alta",'Mapa de Riesgos'!$L$94="Mayor"),CONCATENATE("R",'Mapa de Riesgos'!$A$94),"")</f>
        <v/>
      </c>
      <c r="AD21" s="133" t="str">
        <f ca="1">+IF(AND('Mapa de Riesgos'!$H$26="Alta",'Mapa de Riesgos'!$L$26="Catastrófico"),CONCATENATE("R",'Mapa de Riesgos'!$A$26),"")</f>
        <v/>
      </c>
      <c r="AE21" s="103" t="str">
        <f ca="1">+IF(AND('Mapa de Riesgos'!$H$37="Alta",'Mapa de Riesgos'!$L$37="Catastrófico"),CONCATENATE("R",'Mapa de Riesgos'!$A$37),"")</f>
        <v/>
      </c>
      <c r="AF21" s="103" t="str">
        <f ca="1">+IF(AND('Mapa de Riesgos'!$H$51="Alta",'Mapa de Riesgos'!$L$51="Catastrófico"),CONCATENATE("R",'Mapa de Riesgos'!$A$51),"")</f>
        <v/>
      </c>
      <c r="AG21" s="103" t="str">
        <f ca="1">+IF(AND('Mapa de Riesgos'!$H$64="Alta",'Mapa de Riesgos'!$L$64="Catastrófico"),CONCATENATE("R",'Mapa de Riesgos'!$A$64),"")</f>
        <v/>
      </c>
      <c r="AH21" s="129" t="str">
        <f>+IF(AND('Mapa de Riesgos'!$H$94="Alta",'Mapa de Riesgos'!$L$94="Catastrófico"),CONCATENATE("R",'Mapa de Riesgos'!$A$94),"")</f>
        <v/>
      </c>
      <c r="AI21" s="100"/>
      <c r="AJ21" s="38"/>
      <c r="AK21" s="317"/>
      <c r="AL21" s="318"/>
      <c r="AM21" s="318"/>
      <c r="AN21" s="318"/>
      <c r="AO21" s="318"/>
      <c r="AP21" s="319"/>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row>
    <row r="22" spans="1:76" ht="18.75" x14ac:dyDescent="0.3">
      <c r="A22" s="38"/>
      <c r="B22" s="294"/>
      <c r="C22" s="294"/>
      <c r="D22" s="295"/>
      <c r="E22" s="296" t="s">
        <v>85</v>
      </c>
      <c r="F22" s="297"/>
      <c r="G22" s="297"/>
      <c r="H22" s="297"/>
      <c r="I22" s="297"/>
      <c r="J22" s="114" t="str">
        <f ca="1">+IF(AND('Mapa de Riesgos'!$H$7="Media",'Mapa de Riesgos'!$L$7="Leve"),CONCATENATE("R",'Mapa de Riesgos'!$A$7),"")</f>
        <v/>
      </c>
      <c r="K22" s="115" t="str">
        <f ca="1">+IF(AND('Mapa de Riesgos'!$H$27="Media",'Mapa de Riesgos'!$L$27="Leve"),CONCATENATE("R",'Mapa de Riesgos'!$A$27),"")</f>
        <v/>
      </c>
      <c r="L22" s="115" t="str">
        <f ca="1">+IF(AND('Mapa de Riesgos'!$H$39="Media",'Mapa de Riesgos'!$L$39="Leve"),CONCATENATE("R",'Mapa de Riesgos'!$A$39),"")</f>
        <v/>
      </c>
      <c r="M22" s="115" t="str">
        <f ca="1">+IF(AND('Mapa de Riesgos'!$H$53="Media",'Mapa de Riesgos'!$L$53="Leve"),CONCATENATE("R",'Mapa de Riesgos'!$A$53),"")</f>
        <v/>
      </c>
      <c r="N22" s="115" t="str">
        <f ca="1">+IF(AND('Mapa de Riesgos'!$H$66="Media",'Mapa de Riesgos'!$L$66="Leve"),CONCATENATE("R",'Mapa de Riesgos'!$A$66),"")</f>
        <v/>
      </c>
      <c r="O22" s="114" t="str">
        <f ca="1">+IF(AND('Mapa de Riesgos'!$H$7="Media",'Mapa de Riesgos'!$L$7="Menor"),CONCATENATE("R",'Mapa de Riesgos'!$A$7),"")</f>
        <v>R1</v>
      </c>
      <c r="P22" s="115" t="str">
        <f ca="1">+IF(AND('Mapa de Riesgos'!$H$27="Media",'Mapa de Riesgos'!$L$27="Menor"),CONCATENATE("R",'Mapa de Riesgos'!$A$27),"")</f>
        <v/>
      </c>
      <c r="Q22" s="115" t="str">
        <f ca="1">+IF(AND('Mapa de Riesgos'!$H$39="Media",'Mapa de Riesgos'!$L$39="Menor"),CONCATENATE("R",'Mapa de Riesgos'!$A$39),"")</f>
        <v/>
      </c>
      <c r="R22" s="115" t="str">
        <f ca="1">+IF(AND('Mapa de Riesgos'!$H$53="Media",'Mapa de Riesgos'!$L$53="Menor"),CONCATENATE("R",'Mapa de Riesgos'!$A$53),"")</f>
        <v/>
      </c>
      <c r="S22" s="115" t="str">
        <f ca="1">+IF(AND('Mapa de Riesgos'!$H$66="Media",'Mapa de Riesgos'!$L$66="Menor"),CONCATENATE("R",'Mapa de Riesgos'!$A$66),"")</f>
        <v/>
      </c>
      <c r="T22" s="114" t="str">
        <f ca="1">+IF(AND('Mapa de Riesgos'!$H$7="Media",'Mapa de Riesgos'!$L$7="Moderado"),CONCATENATE("R",'Mapa de Riesgos'!$A$7),"")</f>
        <v/>
      </c>
      <c r="U22" s="115" t="str">
        <f ca="1">+IF(AND('Mapa de Riesgos'!$H$27="Media",'Mapa de Riesgos'!$L$27="Moderado"),CONCATENATE("R",'Mapa de Riesgos'!$A$27),"")</f>
        <v/>
      </c>
      <c r="V22" s="115" t="str">
        <f ca="1">+IF(AND('Mapa de Riesgos'!$H$39="Media",'Mapa de Riesgos'!$L$39="Moderado"),CONCATENATE("R",'Mapa de Riesgos'!$A$39),"")</f>
        <v>R17</v>
      </c>
      <c r="W22" s="115" t="str">
        <f ca="1">+IF(AND('Mapa de Riesgos'!$H$53="Media",'Mapa de Riesgos'!$L$53="Moderado"),CONCATENATE("R",'Mapa de Riesgos'!$A$53),"")</f>
        <v/>
      </c>
      <c r="X22" s="115" t="str">
        <f ca="1">+IF(AND('Mapa de Riesgos'!$H$66="Media",'Mapa de Riesgos'!$L$66="Moderado"),CONCATENATE("R",'Mapa de Riesgos'!$A$66),"")</f>
        <v/>
      </c>
      <c r="Y22" s="106" t="str">
        <f ca="1">+IF(AND('Mapa de Riesgos'!$H$7="Media",'Mapa de Riesgos'!$L$7="Mayor"),CONCATENATE("R",'Mapa de Riesgos'!$A$7),"")</f>
        <v/>
      </c>
      <c r="Z22" s="107" t="str">
        <f ca="1">+IF(AND('Mapa de Riesgos'!$H$27="Media",'Mapa de Riesgos'!$L$27="Mayor"),CONCATENATE("R",'Mapa de Riesgos'!$A$27),"")</f>
        <v>R9</v>
      </c>
      <c r="AA22" s="107" t="str">
        <f ca="1">+IF(AND('Mapa de Riesgos'!$H$39="Media",'Mapa de Riesgos'!$L$39="Mayor"),CONCATENATE("R",'Mapa de Riesgos'!$A$39),"")</f>
        <v/>
      </c>
      <c r="AB22" s="107" t="str">
        <f ca="1">+IF(AND('Mapa de Riesgos'!$H$53="Media",'Mapa de Riesgos'!$L$53="Mayor"),CONCATENATE("R",'Mapa de Riesgos'!$A$53),"")</f>
        <v/>
      </c>
      <c r="AC22" s="107" t="str">
        <f ca="1">+IF(AND('Mapa de Riesgos'!$H$66="Media",'Mapa de Riesgos'!$L$66="Mayor"),CONCATENATE("R",'Mapa de Riesgos'!$A$66),"")</f>
        <v/>
      </c>
      <c r="AD22" s="132" t="str">
        <f ca="1">+IF(AND('Mapa de Riesgos'!$H$7="Media",'Mapa de Riesgos'!$L$7="Catastrófico"),CONCATENATE("R",'Mapa de Riesgos'!$A$7),"")</f>
        <v/>
      </c>
      <c r="AE22" s="127" t="str">
        <f ca="1">+IF(AND('Mapa de Riesgos'!$H$27="Media",'Mapa de Riesgos'!$L$27="Catastrófico"),CONCATENATE("R",'Mapa de Riesgos'!$A$27),"")</f>
        <v/>
      </c>
      <c r="AF22" s="127" t="str">
        <f ca="1">+IF(AND('Mapa de Riesgos'!$H$39="Media",'Mapa de Riesgos'!$L$39="Catastrófico"),CONCATENATE("R",'Mapa de Riesgos'!$A$39),"")</f>
        <v/>
      </c>
      <c r="AG22" s="127" t="str">
        <f ca="1">+IF(AND('Mapa de Riesgos'!$H$53="Media",'Mapa de Riesgos'!$L$53="Catastrófico"),CONCATENATE("R",'Mapa de Riesgos'!$A$53),"")</f>
        <v/>
      </c>
      <c r="AH22" s="128" t="str">
        <f ca="1">+IF(AND('Mapa de Riesgos'!$H$66="Media",'Mapa de Riesgos'!$L$66="Catastrófico"),CONCATENATE("R",'Mapa de Riesgos'!$A$66),"")</f>
        <v/>
      </c>
      <c r="AI22" s="100"/>
      <c r="AJ22" s="38"/>
      <c r="AK22" s="320" t="s">
        <v>86</v>
      </c>
      <c r="AL22" s="321"/>
      <c r="AM22" s="321"/>
      <c r="AN22" s="321"/>
      <c r="AO22" s="321"/>
      <c r="AP22" s="322"/>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row>
    <row r="23" spans="1:76" ht="18" customHeight="1" x14ac:dyDescent="0.3">
      <c r="A23" s="38"/>
      <c r="B23" s="294"/>
      <c r="C23" s="294"/>
      <c r="D23" s="295"/>
      <c r="E23" s="298"/>
      <c r="F23" s="299"/>
      <c r="G23" s="299"/>
      <c r="H23" s="299"/>
      <c r="I23" s="299"/>
      <c r="J23" s="117" t="str">
        <f ca="1">+IF(AND('Mapa de Riesgos'!$H$9="Media",'Mapa de Riesgos'!$L$9="Leve"),CONCATENATE("R",'Mapa de Riesgos'!$A$9),"")</f>
        <v/>
      </c>
      <c r="K23" s="104" t="str">
        <f ca="1">+IF(AND('Mapa de Riesgos'!$H$28="Media",'Mapa de Riesgos'!$L$28="Leve"),CONCATENATE("R",'Mapa de Riesgos'!$A$28),"")</f>
        <v/>
      </c>
      <c r="L23" s="104" t="str">
        <f ca="1">+IF(AND('Mapa de Riesgos'!$H$40="Media",'Mapa de Riesgos'!$L$40="Leve"),CONCATENATE("R",'Mapa de Riesgos'!$A$40),"")</f>
        <v/>
      </c>
      <c r="M23" s="104" t="str">
        <f ca="1">+IF(AND('Mapa de Riesgos'!$H$56="Media",'Mapa de Riesgos'!$L$56="Leve"),CONCATENATE("R",'Mapa de Riesgos'!$A$56),"")</f>
        <v/>
      </c>
      <c r="N23" s="104" t="str">
        <f ca="1">+IF(AND('Mapa de Riesgos'!$H$68="Media",'Mapa de Riesgos'!$L$68="Leve"),CONCATENATE("R",'Mapa de Riesgos'!$A$68),"")</f>
        <v/>
      </c>
      <c r="O23" s="117" t="str">
        <f ca="1">+IF(AND('Mapa de Riesgos'!$H$9="Media",'Mapa de Riesgos'!$L$9="Menor"),CONCATENATE("R",'Mapa de Riesgos'!$A$9),"")</f>
        <v/>
      </c>
      <c r="P23" s="104" t="str">
        <f ca="1">+IF(AND('Mapa de Riesgos'!$H$28="Media",'Mapa de Riesgos'!$L$28="Menor"),CONCATENATE("R",'Mapa de Riesgos'!$A$28),"")</f>
        <v/>
      </c>
      <c r="Q23" s="104" t="str">
        <f ca="1">+IF(AND('Mapa de Riesgos'!$H$40="Media",'Mapa de Riesgos'!$L$40="Menor"),CONCATENATE("R",'Mapa de Riesgos'!$A$40),"")</f>
        <v/>
      </c>
      <c r="R23" s="104" t="str">
        <f ca="1">+IF(AND('Mapa de Riesgos'!$H$56="Media",'Mapa de Riesgos'!$L$56="Menor"),CONCATENATE("R",'Mapa de Riesgos'!$A$56),"")</f>
        <v/>
      </c>
      <c r="S23" s="104" t="str">
        <f ca="1">+IF(AND('Mapa de Riesgos'!$H$68="Media",'Mapa de Riesgos'!$L$68="Menor"),CONCATENATE("R",'Mapa de Riesgos'!$A$68),"")</f>
        <v/>
      </c>
      <c r="T23" s="117" t="str">
        <f ca="1">+IF(AND('Mapa de Riesgos'!$H$9="Media",'Mapa de Riesgos'!$L$9="Moderado"),CONCATENATE("R",'Mapa de Riesgos'!$A$9),"")</f>
        <v>R2</v>
      </c>
      <c r="U23" s="104" t="str">
        <f ca="1">+IF(AND('Mapa de Riesgos'!$H$28="Media",'Mapa de Riesgos'!$L$28="Moderado"),CONCATENATE("R",'Mapa de Riesgos'!$A$28),"")</f>
        <v/>
      </c>
      <c r="V23" s="104" t="str">
        <f ca="1">+IF(AND('Mapa de Riesgos'!$H$40="Media",'Mapa de Riesgos'!$L$40="Moderado"),CONCATENATE("R",'Mapa de Riesgos'!$A$40),"")</f>
        <v/>
      </c>
      <c r="W23" s="104" t="str">
        <f ca="1">+IF(AND('Mapa de Riesgos'!$H$56="Media",'Mapa de Riesgos'!$L$56="Moderado"),CONCATENATE("R",'Mapa de Riesgos'!$A$56),"")</f>
        <v/>
      </c>
      <c r="X23" s="104" t="str">
        <f ca="1">+IF(AND('Mapa de Riesgos'!$H$68="Media",'Mapa de Riesgos'!$L$68="Moderado"),CONCATENATE("R",'Mapa de Riesgos'!$A$68),"")</f>
        <v/>
      </c>
      <c r="Y23" s="109" t="str">
        <f ca="1">+IF(AND('Mapa de Riesgos'!$H$9="Media",'Mapa de Riesgos'!$L$9="Mayor"),CONCATENATE("R",'Mapa de Riesgos'!$A$9),"")</f>
        <v/>
      </c>
      <c r="Z23" s="102" t="str">
        <f ca="1">+IF(AND('Mapa de Riesgos'!$H$28="Media",'Mapa de Riesgos'!$L$28="Mayor"),CONCATENATE("R",'Mapa de Riesgos'!$A$28),"")</f>
        <v>R10</v>
      </c>
      <c r="AA23" s="102" t="str">
        <f ca="1">+IF(AND('Mapa de Riesgos'!$H$40="Media",'Mapa de Riesgos'!$L$40="Mayor"),CONCATENATE("R",'Mapa de Riesgos'!$A$40),"")</f>
        <v>R18</v>
      </c>
      <c r="AB23" s="102" t="str">
        <f ca="1">+IF(AND('Mapa de Riesgos'!$H$56="Media",'Mapa de Riesgos'!$L$56="Mayor"),CONCATENATE("R",'Mapa de Riesgos'!$A$56),"")</f>
        <v/>
      </c>
      <c r="AC23" s="102" t="str">
        <f ca="1">+IF(AND('Mapa de Riesgos'!$H$68="Media",'Mapa de Riesgos'!$L$68="Mayor"),CONCATENATE("R",'Mapa de Riesgos'!$A$68),"")</f>
        <v/>
      </c>
      <c r="AD23" s="133" t="str">
        <f ca="1">+IF(AND('Mapa de Riesgos'!$H$9="Media",'Mapa de Riesgos'!$L$9="Catastrófico"),CONCATENATE("R",'Mapa de Riesgos'!$A$9),"")</f>
        <v/>
      </c>
      <c r="AE23" s="103" t="str">
        <f ca="1">+IF(AND('Mapa de Riesgos'!$H$28="Media",'Mapa de Riesgos'!$L$28="Catastrófico"),CONCATENATE("R",'Mapa de Riesgos'!$A$28),"")</f>
        <v/>
      </c>
      <c r="AF23" s="103" t="str">
        <f ca="1">+IF(AND('Mapa de Riesgos'!$H$40="Media",'Mapa de Riesgos'!$L$40="Catastrófico"),CONCATENATE("R",'Mapa de Riesgos'!$A$40),"")</f>
        <v/>
      </c>
      <c r="AG23" s="103" t="str">
        <f ca="1">+IF(AND('Mapa de Riesgos'!$H$56="Media",'Mapa de Riesgos'!$L$56="Catastrófico"),CONCATENATE("R",'Mapa de Riesgos'!$A$56),"")</f>
        <v/>
      </c>
      <c r="AH23" s="129" t="str">
        <f ca="1">+IF(AND('Mapa de Riesgos'!$H$68="Media",'Mapa de Riesgos'!$L$68="Catastrófico"),CONCATENATE("R",'Mapa de Riesgos'!$A$68),"")</f>
        <v/>
      </c>
      <c r="AI23" s="100"/>
      <c r="AJ23" s="38"/>
      <c r="AK23" s="323"/>
      <c r="AL23" s="324"/>
      <c r="AM23" s="324"/>
      <c r="AN23" s="324"/>
      <c r="AO23" s="324"/>
      <c r="AP23" s="325"/>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row>
    <row r="24" spans="1:76" ht="18.75" x14ac:dyDescent="0.3">
      <c r="A24" s="38"/>
      <c r="B24" s="294"/>
      <c r="C24" s="294"/>
      <c r="D24" s="295"/>
      <c r="E24" s="298"/>
      <c r="F24" s="299"/>
      <c r="G24" s="299"/>
      <c r="H24" s="299"/>
      <c r="I24" s="299"/>
      <c r="J24" s="117" t="str">
        <f ca="1">+IF(AND('Mapa de Riesgos'!$H$15="Media",'Mapa de Riesgos'!$L$15="Leve"),CONCATENATE("R",'Mapa de Riesgos'!$A$15),"")</f>
        <v/>
      </c>
      <c r="K24" s="104" t="str">
        <f ca="1">+IF(AND('Mapa de Riesgos'!$H$29="Media",'Mapa de Riesgos'!$L$29="Leve"),CONCATENATE("R",'Mapa de Riesgos'!$A$29),"")</f>
        <v>R11</v>
      </c>
      <c r="L24" s="104" t="str">
        <f ca="1">+IF(AND('Mapa de Riesgos'!$H$42="Media",'Mapa de Riesgos'!$L$42="Leve"),CONCATENATE("R",'Mapa de Riesgos'!$A$42),"")</f>
        <v/>
      </c>
      <c r="M24" s="104" t="str">
        <f ca="1">+IF(AND('Mapa de Riesgos'!$H$57="Media",'Mapa de Riesgos'!$L$57="Leve"),CONCATENATE("R",'Mapa de Riesgos'!$A$57),"")</f>
        <v>R27</v>
      </c>
      <c r="N24" s="104" t="str">
        <f ca="1">+IF(AND('Mapa de Riesgos'!$H$70="Media",'Mapa de Riesgos'!$L$70="Leve"),CONCATENATE("R",'Mapa de Riesgos'!$A$70),"")</f>
        <v/>
      </c>
      <c r="O24" s="117" t="str">
        <f ca="1">+IF(AND('Mapa de Riesgos'!$H$15="Media",'Mapa de Riesgos'!$L$15="Menor"),CONCATENATE("R",'Mapa de Riesgos'!$A$15),"")</f>
        <v/>
      </c>
      <c r="P24" s="104" t="str">
        <f ca="1">+IF(AND('Mapa de Riesgos'!$H$29="Media",'Mapa de Riesgos'!$L$29="Menor"),CONCATENATE("R",'Mapa de Riesgos'!$A$29),"")</f>
        <v/>
      </c>
      <c r="Q24" s="104" t="str">
        <f ca="1">+IF(AND('Mapa de Riesgos'!$H$42="Media",'Mapa de Riesgos'!$L$42="Menor"),CONCATENATE("R",'Mapa de Riesgos'!$A$42),"")</f>
        <v/>
      </c>
      <c r="R24" s="104" t="str">
        <f ca="1">+IF(AND('Mapa de Riesgos'!$H$57="Media",'Mapa de Riesgos'!$L$57="Menor"),CONCATENATE("R",'Mapa de Riesgos'!$A$57),"")</f>
        <v/>
      </c>
      <c r="S24" s="104" t="str">
        <f ca="1">+IF(AND('Mapa de Riesgos'!$H$70="Media",'Mapa de Riesgos'!$L$70="Menor"),CONCATENATE("R",'Mapa de Riesgos'!$A$70),"")</f>
        <v/>
      </c>
      <c r="T24" s="117" t="str">
        <f ca="1">+IF(AND('Mapa de Riesgos'!$H$15="Media",'Mapa de Riesgos'!$L$15="Moderado"),CONCATENATE("R",'Mapa de Riesgos'!$A$15),"")</f>
        <v/>
      </c>
      <c r="U24" s="104" t="str">
        <f ca="1">+IF(AND('Mapa de Riesgos'!$H$29="Media",'Mapa de Riesgos'!$L$29="Moderado"),CONCATENATE("R",'Mapa de Riesgos'!$A$29),"")</f>
        <v/>
      </c>
      <c r="V24" s="104" t="str">
        <f ca="1">+IF(AND('Mapa de Riesgos'!$H$42="Media",'Mapa de Riesgos'!$L$42="Moderado"),CONCATENATE("R",'Mapa de Riesgos'!$A$42),"")</f>
        <v/>
      </c>
      <c r="W24" s="104" t="str">
        <f ca="1">+IF(AND('Mapa de Riesgos'!$H$57="Media",'Mapa de Riesgos'!$L$57="Moderado"),CONCATENATE("R",'Mapa de Riesgos'!$A$57),"")</f>
        <v/>
      </c>
      <c r="X24" s="104" t="str">
        <f ca="1">+IF(AND('Mapa de Riesgos'!$H$70="Media",'Mapa de Riesgos'!$L$70="Moderado"),CONCATENATE("R",'Mapa de Riesgos'!$A$70),"")</f>
        <v/>
      </c>
      <c r="Y24" s="109" t="str">
        <f ca="1">+IF(AND('Mapa de Riesgos'!$H$15="Media",'Mapa de Riesgos'!$L$15="Mayor"),CONCATENATE("R",'Mapa de Riesgos'!$A$15),"")</f>
        <v>R3</v>
      </c>
      <c r="Z24" s="102" t="str">
        <f ca="1">+IF(AND('Mapa de Riesgos'!$H$29="Media",'Mapa de Riesgos'!$L$29="Mayor"),CONCATENATE("R",'Mapa de Riesgos'!$A$29),"")</f>
        <v/>
      </c>
      <c r="AA24" s="102" t="str">
        <f ca="1">+IF(AND('Mapa de Riesgos'!$H$42="Media",'Mapa de Riesgos'!$L$42="Mayor"),CONCATENATE("R",'Mapa de Riesgos'!$A$42),"")</f>
        <v/>
      </c>
      <c r="AB24" s="102" t="str">
        <f ca="1">+IF(AND('Mapa de Riesgos'!$H$57="Media",'Mapa de Riesgos'!$L$57="Mayor"),CONCATENATE("R",'Mapa de Riesgos'!$A$57),"")</f>
        <v/>
      </c>
      <c r="AC24" s="102" t="str">
        <f ca="1">+IF(AND('Mapa de Riesgos'!$H$70="Media",'Mapa de Riesgos'!$L$70="Mayor"),CONCATENATE("R",'Mapa de Riesgos'!$A$70),"")</f>
        <v/>
      </c>
      <c r="AD24" s="133" t="str">
        <f ca="1">+IF(AND('Mapa de Riesgos'!$H$15="Media",'Mapa de Riesgos'!$L$15="Catastrófico"),CONCATENATE("R",'Mapa de Riesgos'!$A$15),"")</f>
        <v/>
      </c>
      <c r="AE24" s="103" t="str">
        <f ca="1">+IF(AND('Mapa de Riesgos'!$H$29="Media",'Mapa de Riesgos'!$L$29="Catastrófico"),CONCATENATE("R",'Mapa de Riesgos'!$A$29),"")</f>
        <v/>
      </c>
      <c r="AF24" s="103" t="str">
        <f ca="1">+IF(AND('Mapa de Riesgos'!$H$42="Media",'Mapa de Riesgos'!$L$42="Catastrófico"),CONCATENATE("R",'Mapa de Riesgos'!$A$42),"")</f>
        <v/>
      </c>
      <c r="AG24" s="103" t="str">
        <f ca="1">+IF(AND('Mapa de Riesgos'!$H$57="Media",'Mapa de Riesgos'!$L$57="Catastrófico"),CONCATENATE("R",'Mapa de Riesgos'!$A$57),"")</f>
        <v/>
      </c>
      <c r="AH24" s="129" t="str">
        <f ca="1">+IF(AND('Mapa de Riesgos'!$H$70="Media",'Mapa de Riesgos'!$L$70="Catastrófico"),CONCATENATE("R",'Mapa de Riesgos'!$A$70),"")</f>
        <v/>
      </c>
      <c r="AI24" s="100"/>
      <c r="AJ24" s="38"/>
      <c r="AK24" s="323"/>
      <c r="AL24" s="324"/>
      <c r="AM24" s="324"/>
      <c r="AN24" s="324"/>
      <c r="AO24" s="324"/>
      <c r="AP24" s="325"/>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row>
    <row r="25" spans="1:76" ht="18.75" x14ac:dyDescent="0.3">
      <c r="A25" s="38"/>
      <c r="B25" s="294"/>
      <c r="C25" s="294"/>
      <c r="D25" s="295"/>
      <c r="E25" s="298"/>
      <c r="F25" s="299"/>
      <c r="G25" s="299"/>
      <c r="H25" s="299"/>
      <c r="I25" s="299"/>
      <c r="J25" s="117" t="str">
        <f ca="1">+IF(AND('Mapa de Riesgos'!$H$17="Media",'Mapa de Riesgos'!$L$17="Leve"),CONCATENATE("R",'Mapa de Riesgos'!$A$17),"")</f>
        <v>R4</v>
      </c>
      <c r="K25" s="104" t="str">
        <f ca="1">+IF(AND('Mapa de Riesgos'!$H$30="Media",'Mapa de Riesgos'!$L$30="Leve"),CONCATENATE("R",'Mapa de Riesgos'!$A$30),"")</f>
        <v/>
      </c>
      <c r="L25" s="104" t="str">
        <f ca="1">+IF(AND('Mapa de Riesgos'!$H$44="Media",'Mapa de Riesgos'!$L$44="Leve"),CONCATENATE("R",'Mapa de Riesgos'!$A$44),"")</f>
        <v/>
      </c>
      <c r="M25" s="104" t="str">
        <f ca="1">+IF(AND('Mapa de Riesgos'!$H$58="Media",'Mapa de Riesgos'!$L$58="Leve"),CONCATENATE("R",'Mapa de Riesgos'!$A$58),"")</f>
        <v/>
      </c>
      <c r="N25" s="104" t="str">
        <f ca="1">+IF(AND('Mapa de Riesgos'!$H$72="Media",'Mapa de Riesgos'!$L$72="Leve"),CONCATENATE("R",'Mapa de Riesgos'!$A$72),"")</f>
        <v/>
      </c>
      <c r="O25" s="117" t="str">
        <f ca="1">+IF(AND('Mapa de Riesgos'!$H$17="Media",'Mapa de Riesgos'!$L$17="Menor"),CONCATENATE("R",'Mapa de Riesgos'!$A$17),"")</f>
        <v/>
      </c>
      <c r="P25" s="104" t="str">
        <f ca="1">+IF(AND('Mapa de Riesgos'!$H$30="Media",'Mapa de Riesgos'!$L$30="Menor"),CONCATENATE("R",'Mapa de Riesgos'!$A$30),"")</f>
        <v>R12</v>
      </c>
      <c r="Q25" s="104" t="str">
        <f ca="1">+IF(AND('Mapa de Riesgos'!$H$44="Media",'Mapa de Riesgos'!$L$44="Menor"),CONCATENATE("R",'Mapa de Riesgos'!$A$44),"")</f>
        <v/>
      </c>
      <c r="R25" s="104" t="str">
        <f ca="1">+IF(AND('Mapa de Riesgos'!$H$58="Media",'Mapa de Riesgos'!$L$58="Menor"),CONCATENATE("R",'Mapa de Riesgos'!$A$58),"")</f>
        <v/>
      </c>
      <c r="S25" s="104" t="str">
        <f ca="1">+IF(AND('Mapa de Riesgos'!$H$72="Media",'Mapa de Riesgos'!$L$72="Menor"),CONCATENATE("R",'Mapa de Riesgos'!$A$72),"")</f>
        <v>R36</v>
      </c>
      <c r="T25" s="117" t="str">
        <f ca="1">+IF(AND('Mapa de Riesgos'!$H$17="Media",'Mapa de Riesgos'!$L$17="Moderado"),CONCATENATE("R",'Mapa de Riesgos'!$A$17),"")</f>
        <v/>
      </c>
      <c r="U25" s="104" t="str">
        <f ca="1">+IF(AND('Mapa de Riesgos'!$H$30="Media",'Mapa de Riesgos'!$L$30="Moderado"),CONCATENATE("R",'Mapa de Riesgos'!$A$30),"")</f>
        <v/>
      </c>
      <c r="V25" s="104" t="str">
        <f ca="1">+IF(AND('Mapa de Riesgos'!$H$44="Media",'Mapa de Riesgos'!$L$44="Moderado"),CONCATENATE("R",'Mapa de Riesgos'!$A$44),"")</f>
        <v/>
      </c>
      <c r="W25" s="104" t="str">
        <f ca="1">+IF(AND('Mapa de Riesgos'!$H$58="Media",'Mapa de Riesgos'!$L$58="Moderado"),CONCATENATE("R",'Mapa de Riesgos'!$A$58),"")</f>
        <v/>
      </c>
      <c r="X25" s="104" t="str">
        <f ca="1">+IF(AND('Mapa de Riesgos'!$H$72="Media",'Mapa de Riesgos'!$L$72="Moderado"),CONCATENATE("R",'Mapa de Riesgos'!$A$72),"")</f>
        <v/>
      </c>
      <c r="Y25" s="109" t="str">
        <f ca="1">+IF(AND('Mapa de Riesgos'!$H$17="Media",'Mapa de Riesgos'!$L$17="Mayor"),CONCATENATE("R",'Mapa de Riesgos'!$A$17),"")</f>
        <v/>
      </c>
      <c r="Z25" s="102" t="str">
        <f ca="1">+IF(AND('Mapa de Riesgos'!$H$30="Media",'Mapa de Riesgos'!$L$30="Mayor"),CONCATENATE("R",'Mapa de Riesgos'!$A$30),"")</f>
        <v/>
      </c>
      <c r="AA25" s="102" t="str">
        <f ca="1">+IF(AND('Mapa de Riesgos'!$H$44="Media",'Mapa de Riesgos'!$L$44="Mayor"),CONCATENATE("R",'Mapa de Riesgos'!$A$44),"")</f>
        <v/>
      </c>
      <c r="AB25" s="102" t="str">
        <f ca="1">+IF(AND('Mapa de Riesgos'!$H$58="Media",'Mapa de Riesgos'!$L$58="Mayor"),CONCATENATE("R",'Mapa de Riesgos'!$A$58),"")</f>
        <v>R28</v>
      </c>
      <c r="AC25" s="102" t="str">
        <f ca="1">+IF(AND('Mapa de Riesgos'!$H$72="Media",'Mapa de Riesgos'!$L$72="Mayor"),CONCATENATE("R",'Mapa de Riesgos'!$A$72),"")</f>
        <v/>
      </c>
      <c r="AD25" s="133" t="str">
        <f ca="1">+IF(AND('Mapa de Riesgos'!$H$17="Media",'Mapa de Riesgos'!$L$17="Catastrófico"),CONCATENATE("R",'Mapa de Riesgos'!$A$17),"")</f>
        <v/>
      </c>
      <c r="AE25" s="103" t="str">
        <f ca="1">+IF(AND('Mapa de Riesgos'!$H$30="Media",'Mapa de Riesgos'!$L$30="Catastrófico"),CONCATENATE("R",'Mapa de Riesgos'!$A$30),"")</f>
        <v/>
      </c>
      <c r="AF25" s="103" t="str">
        <f ca="1">+IF(AND('Mapa de Riesgos'!$H$44="Media",'Mapa de Riesgos'!$L$44="Catastrófico"),CONCATENATE("R",'Mapa de Riesgos'!$A$44),"")</f>
        <v/>
      </c>
      <c r="AG25" s="103" t="str">
        <f ca="1">+IF(AND('Mapa de Riesgos'!$H$58="Media",'Mapa de Riesgos'!$L$58="Catastrófico"),CONCATENATE("R",'Mapa de Riesgos'!$A$58),"")</f>
        <v/>
      </c>
      <c r="AH25" s="129" t="str">
        <f ca="1">+IF(AND('Mapa de Riesgos'!$H$72="Media",'Mapa de Riesgos'!$L$72="Catastrófico"),CONCATENATE("R",'Mapa de Riesgos'!$A$72),"")</f>
        <v/>
      </c>
      <c r="AI25" s="100"/>
      <c r="AJ25" s="38"/>
      <c r="AK25" s="323"/>
      <c r="AL25" s="324"/>
      <c r="AM25" s="324"/>
      <c r="AN25" s="324"/>
      <c r="AO25" s="324"/>
      <c r="AP25" s="325"/>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row>
    <row r="26" spans="1:76" ht="18.75" x14ac:dyDescent="0.3">
      <c r="A26" s="38"/>
      <c r="B26" s="294"/>
      <c r="C26" s="294"/>
      <c r="D26" s="295"/>
      <c r="E26" s="298"/>
      <c r="F26" s="299"/>
      <c r="G26" s="299"/>
      <c r="H26" s="299"/>
      <c r="I26" s="299"/>
      <c r="J26" s="117" t="str">
        <f ca="1">+IF(AND('Mapa de Riesgos'!$H$19="Media",'Mapa de Riesgos'!$L$19="Leve"),CONCATENATE("R",'Mapa de Riesgos'!$A$19),"")</f>
        <v/>
      </c>
      <c r="K26" s="104" t="str">
        <f ca="1">+IF(AND('Mapa de Riesgos'!$H$32="Media",'Mapa de Riesgos'!$L$32="Leve"),CONCATENATE("R",'Mapa de Riesgos'!$A$32),"")</f>
        <v/>
      </c>
      <c r="L26" s="104" t="str">
        <f ca="1">+IF(AND('Mapa de Riesgos'!$H$45="Media",'Mapa de Riesgos'!$L$45="Leve"),CONCATENATE("R",'Mapa de Riesgos'!$A$45),"")</f>
        <v/>
      </c>
      <c r="M26" s="104" t="str">
        <f ca="1">+IF(AND('Mapa de Riesgos'!$H$60="Media",'Mapa de Riesgos'!$L$60="Leve"),CONCATENATE("R",'Mapa de Riesgos'!$A$60),"")</f>
        <v/>
      </c>
      <c r="N26" s="104" t="str">
        <f>+IF(AND('Mapa de Riesgos'!$H$76="Media",'Mapa de Riesgos'!$L$76="Leve"),CONCATENATE("R",'Mapa de Riesgos'!$A$76),"")</f>
        <v/>
      </c>
      <c r="O26" s="117" t="str">
        <f ca="1">+IF(AND('Mapa de Riesgos'!$H$19="Media",'Mapa de Riesgos'!$L$19="Menor"),CONCATENATE("R",'Mapa de Riesgos'!$A$19),"")</f>
        <v/>
      </c>
      <c r="P26" s="104" t="str">
        <f ca="1">+IF(AND('Mapa de Riesgos'!$H$32="Media",'Mapa de Riesgos'!$L$32="Menor"),CONCATENATE("R",'Mapa de Riesgos'!$A$32),"")</f>
        <v/>
      </c>
      <c r="Q26" s="104" t="str">
        <f ca="1">+IF(AND('Mapa de Riesgos'!$H$45="Media",'Mapa de Riesgos'!$L$45="Menor"),CONCATENATE("R",'Mapa de Riesgos'!$A$45),"")</f>
        <v/>
      </c>
      <c r="R26" s="104" t="str">
        <f ca="1">+IF(AND('Mapa de Riesgos'!$H$60="Media",'Mapa de Riesgos'!$L$60="Menor"),CONCATENATE("R",'Mapa de Riesgos'!$A$60),"")</f>
        <v/>
      </c>
      <c r="S26" s="104" t="str">
        <f>+IF(AND('Mapa de Riesgos'!$H$76="Media",'Mapa de Riesgos'!$L$76="Menor"),CONCATENATE("R",'Mapa de Riesgos'!$A$76),"")</f>
        <v/>
      </c>
      <c r="T26" s="117" t="str">
        <f ca="1">+IF(AND('Mapa de Riesgos'!$H$19="Media",'Mapa de Riesgos'!$L$19="Moderado"),CONCATENATE("R",'Mapa de Riesgos'!$A$19),"")</f>
        <v>R5</v>
      </c>
      <c r="U26" s="104" t="str">
        <f ca="1">+IF(AND('Mapa de Riesgos'!$H$32="Media",'Mapa de Riesgos'!$L$32="Moderado"),CONCATENATE("R",'Mapa de Riesgos'!$A$32),"")</f>
        <v>R13</v>
      </c>
      <c r="V26" s="104" t="str">
        <f ca="1">+IF(AND('Mapa de Riesgos'!$H$45="Media",'Mapa de Riesgos'!$L$45="Moderado"),CONCATENATE("R",'Mapa de Riesgos'!$A$45),"")</f>
        <v/>
      </c>
      <c r="W26" s="104" t="str">
        <f ca="1">+IF(AND('Mapa de Riesgos'!$H$60="Media",'Mapa de Riesgos'!$L$60="Moderado"),CONCATENATE("R",'Mapa de Riesgos'!$A$60),"")</f>
        <v/>
      </c>
      <c r="X26" s="104" t="str">
        <f>+IF(AND('Mapa de Riesgos'!$H$76="Media",'Mapa de Riesgos'!$L$76="Moderado"),CONCATENATE("R",'Mapa de Riesgos'!$A$76),"")</f>
        <v/>
      </c>
      <c r="Y26" s="109" t="str">
        <f ca="1">+IF(AND('Mapa de Riesgos'!$H$19="Media",'Mapa de Riesgos'!$L$19="Mayor"),CONCATENATE("R",'Mapa de Riesgos'!$A$19),"")</f>
        <v/>
      </c>
      <c r="Z26" s="102" t="str">
        <f ca="1">+IF(AND('Mapa de Riesgos'!$H$32="Media",'Mapa de Riesgos'!$L$32="Mayor"),CONCATENATE("R",'Mapa de Riesgos'!$A$32),"")</f>
        <v/>
      </c>
      <c r="AA26" s="102" t="str">
        <f ca="1">+IF(AND('Mapa de Riesgos'!$H$45="Media",'Mapa de Riesgos'!$L$45="Mayor"),CONCATENATE("R",'Mapa de Riesgos'!$A$45),"")</f>
        <v/>
      </c>
      <c r="AB26" s="102" t="str">
        <f ca="1">+IF(AND('Mapa de Riesgos'!$H$60="Media",'Mapa de Riesgos'!$L$60="Mayor"),CONCATENATE("R",'Mapa de Riesgos'!$A$60),"")</f>
        <v/>
      </c>
      <c r="AC26" s="102" t="str">
        <f>+IF(AND('Mapa de Riesgos'!$H$76="Media",'Mapa de Riesgos'!$L$76="Mayor"),CONCATENATE("R",'Mapa de Riesgos'!$A$76),"")</f>
        <v/>
      </c>
      <c r="AD26" s="133" t="str">
        <f ca="1">+IF(AND('Mapa de Riesgos'!$H$19="Media",'Mapa de Riesgos'!$L$19="Catastrófico"),CONCATENATE("R",'Mapa de Riesgos'!$A$19),"")</f>
        <v/>
      </c>
      <c r="AE26" s="103" t="str">
        <f ca="1">+IF(AND('Mapa de Riesgos'!$H$32="Media",'Mapa de Riesgos'!$L$32="Catastrófico"),CONCATENATE("R",'Mapa de Riesgos'!$A$32),"")</f>
        <v/>
      </c>
      <c r="AF26" s="103" t="str">
        <f ca="1">+IF(AND('Mapa de Riesgos'!$H$45="Media",'Mapa de Riesgos'!$L$45="Catastrófico"),CONCATENATE("R",'Mapa de Riesgos'!$A$45),"")</f>
        <v/>
      </c>
      <c r="AG26" s="103" t="str">
        <f ca="1">+IF(AND('Mapa de Riesgos'!$H$60="Media",'Mapa de Riesgos'!$L$60="Catastrófico"),CONCATENATE("R",'Mapa de Riesgos'!$A$60),"")</f>
        <v/>
      </c>
      <c r="AH26" s="129" t="str">
        <f>+IF(AND('Mapa de Riesgos'!$H$76="Media",'Mapa de Riesgos'!$L$76="Catastrófico"),CONCATENATE("R",'Mapa de Riesgos'!$A$76),"")</f>
        <v/>
      </c>
      <c r="AI26" s="100"/>
      <c r="AJ26" s="38"/>
      <c r="AK26" s="323"/>
      <c r="AL26" s="324"/>
      <c r="AM26" s="324"/>
      <c r="AN26" s="324"/>
      <c r="AO26" s="324"/>
      <c r="AP26" s="325"/>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row>
    <row r="27" spans="1:76" ht="18.75" x14ac:dyDescent="0.3">
      <c r="A27" s="38"/>
      <c r="B27" s="294"/>
      <c r="C27" s="294"/>
      <c r="D27" s="295"/>
      <c r="E27" s="298"/>
      <c r="F27" s="299"/>
      <c r="G27" s="299"/>
      <c r="H27" s="299"/>
      <c r="I27" s="299"/>
      <c r="J27" s="117" t="str">
        <f ca="1">+IF(AND('Mapa de Riesgos'!$H$21="Media",'Mapa de Riesgos'!$L$21="Leve"),CONCATENATE("R",'Mapa de Riesgos'!$A$21),"")</f>
        <v/>
      </c>
      <c r="K27" s="104" t="str">
        <f ca="1">+IF(AND('Mapa de Riesgos'!$H$34="Media",'Mapa de Riesgos'!$L$34="Leve"),CONCATENATE("R",'Mapa de Riesgos'!$A$34),"")</f>
        <v/>
      </c>
      <c r="L27" s="104" t="e">
        <f>+IF(AND('Mapa de Riesgos'!#REF!="Media",'Mapa de Riesgos'!#REF!="Leve"),CONCATENATE("R",'Mapa de Riesgos'!#REF!),"")</f>
        <v>#REF!</v>
      </c>
      <c r="M27" s="104" t="str">
        <f ca="1">+IF(AND('Mapa de Riesgos'!$H$61="Media",'Mapa de Riesgos'!$L$61="Leve"),CONCATENATE("R",'Mapa de Riesgos'!$A$61),"")</f>
        <v/>
      </c>
      <c r="N27" s="104" t="str">
        <f>+IF(AND('Mapa de Riesgos'!$H$82="Media",'Mapa de Riesgos'!$L$82="Leve"),CONCATENATE("R",'Mapa de Riesgos'!$A$82),"")</f>
        <v/>
      </c>
      <c r="O27" s="117" t="str">
        <f ca="1">+IF(AND('Mapa de Riesgos'!$H$21="Media",'Mapa de Riesgos'!$L$21="Menor"),CONCATENATE("R",'Mapa de Riesgos'!$A$21),"")</f>
        <v/>
      </c>
      <c r="P27" s="104" t="str">
        <f ca="1">+IF(AND('Mapa de Riesgos'!$H$34="Media",'Mapa de Riesgos'!$L$34="Menor"),CONCATENATE("R",'Mapa de Riesgos'!$A$34),"")</f>
        <v/>
      </c>
      <c r="Q27" s="104" t="e">
        <f>+IF(AND('Mapa de Riesgos'!#REF!="Media",'Mapa de Riesgos'!#REF!="Menor"),CONCATENATE("R",'Mapa de Riesgos'!#REF!),"")</f>
        <v>#REF!</v>
      </c>
      <c r="R27" s="104" t="str">
        <f ca="1">+IF(AND('Mapa de Riesgos'!$H$61="Media",'Mapa de Riesgos'!$L$61="Menor"),CONCATENATE("R",'Mapa de Riesgos'!$A$61),"")</f>
        <v/>
      </c>
      <c r="S27" s="104" t="str">
        <f>+IF(AND('Mapa de Riesgos'!$H$82="Media",'Mapa de Riesgos'!$L$82="Menor"),CONCATENATE("R",'Mapa de Riesgos'!$A$82),"")</f>
        <v/>
      </c>
      <c r="T27" s="117" t="str">
        <f ca="1">+IF(AND('Mapa de Riesgos'!$H$21="Media",'Mapa de Riesgos'!$L$21="Moderado"),CONCATENATE("R",'Mapa de Riesgos'!$A$21),"")</f>
        <v/>
      </c>
      <c r="U27" s="104" t="str">
        <f ca="1">+IF(AND('Mapa de Riesgos'!$H$34="Media",'Mapa de Riesgos'!$L$34="Moderado"),CONCATENATE("R",'Mapa de Riesgos'!$A$34),"")</f>
        <v/>
      </c>
      <c r="V27" s="104" t="e">
        <f>+IF(AND('Mapa de Riesgos'!#REF!="Media",'Mapa de Riesgos'!#REF!="Moderado"),CONCATENATE("R",'Mapa de Riesgos'!#REF!),"")</f>
        <v>#REF!</v>
      </c>
      <c r="W27" s="104" t="str">
        <f ca="1">+IF(AND('Mapa de Riesgos'!$H$61="Media",'Mapa de Riesgos'!$L$61="Moderado"),CONCATENATE("R",'Mapa de Riesgos'!$A$61),"")</f>
        <v/>
      </c>
      <c r="X27" s="104" t="str">
        <f>+IF(AND('Mapa de Riesgos'!$H$82="Media",'Mapa de Riesgos'!$L$82="Moderado"),CONCATENATE("R",'Mapa de Riesgos'!$A$82),"")</f>
        <v/>
      </c>
      <c r="Y27" s="109" t="str">
        <f ca="1">+IF(AND('Mapa de Riesgos'!$H$21="Media",'Mapa de Riesgos'!$L$21="Mayor"),CONCATENATE("R",'Mapa de Riesgos'!$A$21),"")</f>
        <v/>
      </c>
      <c r="Z27" s="102" t="str">
        <f ca="1">+IF(AND('Mapa de Riesgos'!$H$34="Media",'Mapa de Riesgos'!$L$34="Mayor"),CONCATENATE("R",'Mapa de Riesgos'!$A$34),"")</f>
        <v/>
      </c>
      <c r="AA27" s="102" t="e">
        <f>+IF(AND('Mapa de Riesgos'!#REF!="Media",'Mapa de Riesgos'!#REF!="Mayor"),CONCATENATE("R",'Mapa de Riesgos'!#REF!),"")</f>
        <v>#REF!</v>
      </c>
      <c r="AB27" s="102" t="str">
        <f ca="1">+IF(AND('Mapa de Riesgos'!$H$61="Media",'Mapa de Riesgos'!$L$61="Mayor"),CONCATENATE("R",'Mapa de Riesgos'!$A$61),"")</f>
        <v/>
      </c>
      <c r="AC27" s="102" t="str">
        <f>+IF(AND('Mapa de Riesgos'!$H$82="Media",'Mapa de Riesgos'!$L$82="Mayor"),CONCATENATE("R",'Mapa de Riesgos'!$A$82),"")</f>
        <v/>
      </c>
      <c r="AD27" s="133" t="str">
        <f ca="1">+IF(AND('Mapa de Riesgos'!$H$21="Media",'Mapa de Riesgos'!$L$21="Catastrófico"),CONCATENATE("R",'Mapa de Riesgos'!$A$21),"")</f>
        <v/>
      </c>
      <c r="AE27" s="103" t="str">
        <f ca="1">+IF(AND('Mapa de Riesgos'!$H$34="Media",'Mapa de Riesgos'!$L$34="Catastrófico"),CONCATENATE("R",'Mapa de Riesgos'!$A$34),"")</f>
        <v/>
      </c>
      <c r="AF27" s="103" t="e">
        <f>+IF(AND('Mapa de Riesgos'!#REF!="Media",'Mapa de Riesgos'!#REF!="Catastrófico"),CONCATENATE("R",'Mapa de Riesgos'!#REF!),"")</f>
        <v>#REF!</v>
      </c>
      <c r="AG27" s="103" t="str">
        <f ca="1">+IF(AND('Mapa de Riesgos'!$H$61="Media",'Mapa de Riesgos'!$L$61="Catastrófico"),CONCATENATE("R",'Mapa de Riesgos'!$A$61),"")</f>
        <v/>
      </c>
      <c r="AH27" s="129" t="str">
        <f>+IF(AND('Mapa de Riesgos'!$H$82="Media",'Mapa de Riesgos'!$L$82="Catastrófico"),CONCATENATE("R",'Mapa de Riesgos'!$A$82),"")</f>
        <v/>
      </c>
      <c r="AI27" s="100"/>
      <c r="AJ27" s="38"/>
      <c r="AK27" s="323"/>
      <c r="AL27" s="324"/>
      <c r="AM27" s="324"/>
      <c r="AN27" s="324"/>
      <c r="AO27" s="324"/>
      <c r="AP27" s="325"/>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row>
    <row r="28" spans="1:76" ht="18.75" x14ac:dyDescent="0.3">
      <c r="A28" s="38"/>
      <c r="B28" s="294"/>
      <c r="C28" s="294"/>
      <c r="D28" s="295"/>
      <c r="E28" s="298"/>
      <c r="F28" s="299"/>
      <c r="G28" s="299"/>
      <c r="H28" s="299"/>
      <c r="I28" s="299"/>
      <c r="J28" s="117" t="str">
        <f ca="1">+IF(AND('Mapa de Riesgos'!$H$23="Media",'Mapa de Riesgos'!$L$23="Leve"),CONCATENATE("R",'Mapa de Riesgos'!$A$23),"")</f>
        <v/>
      </c>
      <c r="K28" s="104" t="str">
        <f ca="1">+IF(AND('Mapa de Riesgos'!$H$36="Media",'Mapa de Riesgos'!$L$36="Leve"),CONCATENATE("R",'Mapa de Riesgos'!$A$36),"")</f>
        <v/>
      </c>
      <c r="L28" s="104" t="str">
        <f ca="1">+IF(AND('Mapa de Riesgos'!$H$48="Media",'Mapa de Riesgos'!$L$48="Leve"),CONCATENATE("R",'Mapa de Riesgos'!$A$48),"")</f>
        <v/>
      </c>
      <c r="M28" s="104" t="str">
        <f ca="1">+IF(AND('Mapa de Riesgos'!$H$63="Media",'Mapa de Riesgos'!$L$63="Leve"),CONCATENATE("R",'Mapa de Riesgos'!$A$63),"")</f>
        <v/>
      </c>
      <c r="N28" s="104" t="str">
        <f>+IF(AND('Mapa de Riesgos'!$H$88="Media",'Mapa de Riesgos'!$L$88="Leve"),CONCATENATE("R",'Mapa de Riesgos'!$A$88),"")</f>
        <v/>
      </c>
      <c r="O28" s="117" t="str">
        <f ca="1">+IF(AND('Mapa de Riesgos'!$H$23="Media",'Mapa de Riesgos'!$L$23="Menor"),CONCATENATE("R",'Mapa de Riesgos'!$A$23),"")</f>
        <v>R7</v>
      </c>
      <c r="P28" s="104" t="str">
        <f ca="1">+IF(AND('Mapa de Riesgos'!$H$36="Media",'Mapa de Riesgos'!$L$36="Menor"),CONCATENATE("R",'Mapa de Riesgos'!$A$36),"")</f>
        <v/>
      </c>
      <c r="Q28" s="104" t="str">
        <f ca="1">+IF(AND('Mapa de Riesgos'!$H$48="Media",'Mapa de Riesgos'!$L$48="Menor"),CONCATENATE("R",'Mapa de Riesgos'!$A$48),"")</f>
        <v>R23</v>
      </c>
      <c r="R28" s="104" t="str">
        <f ca="1">+IF(AND('Mapa de Riesgos'!$H$63="Media",'Mapa de Riesgos'!$L$63="Menor"),CONCATENATE("R",'Mapa de Riesgos'!$A$63),"")</f>
        <v/>
      </c>
      <c r="S28" s="104" t="str">
        <f>+IF(AND('Mapa de Riesgos'!$H$88="Media",'Mapa de Riesgos'!$L$88="Menor"),CONCATENATE("R",'Mapa de Riesgos'!$A$88),"")</f>
        <v/>
      </c>
      <c r="T28" s="117" t="str">
        <f ca="1">+IF(AND('Mapa de Riesgos'!$H$23="Media",'Mapa de Riesgos'!$L$23="Moderado"),CONCATENATE("R",'Mapa de Riesgos'!$A$23),"")</f>
        <v/>
      </c>
      <c r="U28" s="104" t="str">
        <f ca="1">+IF(AND('Mapa de Riesgos'!$H$36="Media",'Mapa de Riesgos'!$L$36="Moderado"),CONCATENATE("R",'Mapa de Riesgos'!$A$36),"")</f>
        <v/>
      </c>
      <c r="V28" s="104" t="str">
        <f ca="1">+IF(AND('Mapa de Riesgos'!$H$48="Media",'Mapa de Riesgos'!$L$48="Moderado"),CONCATENATE("R",'Mapa de Riesgos'!$A$48),"")</f>
        <v/>
      </c>
      <c r="W28" s="104" t="str">
        <f ca="1">+IF(AND('Mapa de Riesgos'!$H$63="Media",'Mapa de Riesgos'!$L$63="Moderado"),CONCATENATE("R",'Mapa de Riesgos'!$A$63),"")</f>
        <v/>
      </c>
      <c r="X28" s="104" t="str">
        <f>+IF(AND('Mapa de Riesgos'!$H$88="Media",'Mapa de Riesgos'!$L$88="Moderado"),CONCATENATE("R",'Mapa de Riesgos'!$A$88),"")</f>
        <v/>
      </c>
      <c r="Y28" s="109" t="str">
        <f ca="1">+IF(AND('Mapa de Riesgos'!$H$23="Media",'Mapa de Riesgos'!$L$23="Mayor"),CONCATENATE("R",'Mapa de Riesgos'!$A$23),"")</f>
        <v/>
      </c>
      <c r="Z28" s="102" t="str">
        <f ca="1">+IF(AND('Mapa de Riesgos'!$H$36="Media",'Mapa de Riesgos'!$L$36="Mayor"),CONCATENATE("R",'Mapa de Riesgos'!$A$36),"")</f>
        <v/>
      </c>
      <c r="AA28" s="102" t="str">
        <f ca="1">+IF(AND('Mapa de Riesgos'!$H$48="Media",'Mapa de Riesgos'!$L$48="Mayor"),CONCATENATE("R",'Mapa de Riesgos'!$A$48),"")</f>
        <v/>
      </c>
      <c r="AB28" s="102" t="str">
        <f ca="1">+IF(AND('Mapa de Riesgos'!$H$63="Media",'Mapa de Riesgos'!$L$63="Mayor"),CONCATENATE("R",'Mapa de Riesgos'!$A$63),"")</f>
        <v/>
      </c>
      <c r="AC28" s="102" t="str">
        <f>+IF(AND('Mapa de Riesgos'!$H$88="Media",'Mapa de Riesgos'!$L$88="Mayor"),CONCATENATE("R",'Mapa de Riesgos'!$A$88),"")</f>
        <v/>
      </c>
      <c r="AD28" s="133" t="str">
        <f ca="1">+IF(AND('Mapa de Riesgos'!$H$23="Media",'Mapa de Riesgos'!$L$23="Catastrófico"),CONCATENATE("R",'Mapa de Riesgos'!$A$23),"")</f>
        <v/>
      </c>
      <c r="AE28" s="103" t="str">
        <f ca="1">+IF(AND('Mapa de Riesgos'!$H$36="Media",'Mapa de Riesgos'!$L$36="Catastrófico"),CONCATENATE("R",'Mapa de Riesgos'!$A$36),"")</f>
        <v/>
      </c>
      <c r="AF28" s="103" t="str">
        <f ca="1">+IF(AND('Mapa de Riesgos'!$H$48="Media",'Mapa de Riesgos'!$L$48="Catastrófico"),CONCATENATE("R",'Mapa de Riesgos'!$A$48),"")</f>
        <v/>
      </c>
      <c r="AG28" s="103" t="str">
        <f ca="1">+IF(AND('Mapa de Riesgos'!$H$63="Media",'Mapa de Riesgos'!$L$63="Catastrófico"),CONCATENATE("R",'Mapa de Riesgos'!$A$63),"")</f>
        <v/>
      </c>
      <c r="AH28" s="129" t="str">
        <f>+IF(AND('Mapa de Riesgos'!$H$88="Media",'Mapa de Riesgos'!$L$88="Catastrófico"),CONCATENATE("R",'Mapa de Riesgos'!$A$88),"")</f>
        <v/>
      </c>
      <c r="AI28" s="100"/>
      <c r="AJ28" s="38"/>
      <c r="AK28" s="323"/>
      <c r="AL28" s="324"/>
      <c r="AM28" s="324"/>
      <c r="AN28" s="324"/>
      <c r="AO28" s="324"/>
      <c r="AP28" s="325"/>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row>
    <row r="29" spans="1:76" ht="19.5" thickBot="1" x14ac:dyDescent="0.35">
      <c r="A29" s="38"/>
      <c r="B29" s="294"/>
      <c r="C29" s="294"/>
      <c r="D29" s="295"/>
      <c r="E29" s="300"/>
      <c r="F29" s="301"/>
      <c r="G29" s="301"/>
      <c r="H29" s="301"/>
      <c r="I29" s="301"/>
      <c r="J29" s="117" t="str">
        <f ca="1">+IF(AND('Mapa de Riesgos'!$H$26="Media",'Mapa de Riesgos'!$L$26="Leve"),CONCATENATE("R",'Mapa de Riesgos'!$A$26),"")</f>
        <v/>
      </c>
      <c r="K29" s="104" t="str">
        <f ca="1">+IF(AND('Mapa de Riesgos'!$H$37="Media",'Mapa de Riesgos'!$L$37="Leve"),CONCATENATE("R",'Mapa de Riesgos'!$A$37),"")</f>
        <v/>
      </c>
      <c r="L29" s="104" t="str">
        <f ca="1">+IF(AND('Mapa de Riesgos'!$H$51="Media",'Mapa de Riesgos'!$L$51="Leve"),CONCATENATE("R",'Mapa de Riesgos'!$A$51),"")</f>
        <v/>
      </c>
      <c r="M29" s="104" t="str">
        <f ca="1">+IF(AND('Mapa de Riesgos'!$H$64="Media",'Mapa de Riesgos'!$L$64="Leve"),CONCATENATE("R",'Mapa de Riesgos'!$A$64),"")</f>
        <v/>
      </c>
      <c r="N29" s="104" t="str">
        <f>+IF(AND('Mapa de Riesgos'!$H$94="Media",'Mapa de Riesgos'!$L$94="Leve"),CONCATENATE("R",'Mapa de Riesgos'!$A$94),"")</f>
        <v/>
      </c>
      <c r="O29" s="117" t="str">
        <f ca="1">+IF(AND('Mapa de Riesgos'!$H$26="Media",'Mapa de Riesgos'!$L$26="Menor"),CONCATENATE("R",'Mapa de Riesgos'!$A$26),"")</f>
        <v/>
      </c>
      <c r="P29" s="104" t="str">
        <f ca="1">+IF(AND('Mapa de Riesgos'!$H$37="Media",'Mapa de Riesgos'!$L$37="Menor"),CONCATENATE("R",'Mapa de Riesgos'!$A$37),"")</f>
        <v/>
      </c>
      <c r="Q29" s="104" t="str">
        <f ca="1">+IF(AND('Mapa de Riesgos'!$H$51="Media",'Mapa de Riesgos'!$L$51="Menor"),CONCATENATE("R",'Mapa de Riesgos'!$A$51),"")</f>
        <v/>
      </c>
      <c r="R29" s="104" t="str">
        <f ca="1">+IF(AND('Mapa de Riesgos'!$H$64="Media",'Mapa de Riesgos'!$L$64="Menor"),CONCATENATE("R",'Mapa de Riesgos'!$A$64),"")</f>
        <v/>
      </c>
      <c r="S29" s="104" t="str">
        <f>+IF(AND('Mapa de Riesgos'!$H$94="Media",'Mapa de Riesgos'!$L$94="Menor"),CONCATENATE("R",'Mapa de Riesgos'!$A$94),"")</f>
        <v/>
      </c>
      <c r="T29" s="117" t="str">
        <f ca="1">+IF(AND('Mapa de Riesgos'!$H$26="Media",'Mapa de Riesgos'!$L$26="Moderado"),CONCATENATE("R",'Mapa de Riesgos'!$A$26),"")</f>
        <v/>
      </c>
      <c r="U29" s="104" t="str">
        <f ca="1">+IF(AND('Mapa de Riesgos'!$H$37="Media",'Mapa de Riesgos'!$L$37="Moderado"),CONCATENATE("R",'Mapa de Riesgos'!$A$37),"")</f>
        <v/>
      </c>
      <c r="V29" s="104" t="str">
        <f ca="1">+IF(AND('Mapa de Riesgos'!$H$51="Media",'Mapa de Riesgos'!$L$51="Moderado"),CONCATENATE("R",'Mapa de Riesgos'!$A$51),"")</f>
        <v/>
      </c>
      <c r="W29" s="104" t="str">
        <f ca="1">+IF(AND('Mapa de Riesgos'!$H$64="Media",'Mapa de Riesgos'!$L$64="Moderado"),CONCATENATE("R",'Mapa de Riesgos'!$A$64),"")</f>
        <v/>
      </c>
      <c r="X29" s="104" t="str">
        <f>+IF(AND('Mapa de Riesgos'!$H$94="Media",'Mapa de Riesgos'!$L$94="Moderado"),CONCATENATE("R",'Mapa de Riesgos'!$A$94),"")</f>
        <v/>
      </c>
      <c r="Y29" s="109" t="str">
        <f ca="1">+IF(AND('Mapa de Riesgos'!$H$26="Media",'Mapa de Riesgos'!$L$26="Mayor"),CONCATENATE("R",'Mapa de Riesgos'!$A$26),"")</f>
        <v>R8</v>
      </c>
      <c r="Z29" s="102" t="str">
        <f ca="1">+IF(AND('Mapa de Riesgos'!$H$37="Media",'Mapa de Riesgos'!$L$37="Mayor"),CONCATENATE("R",'Mapa de Riesgos'!$A$37),"")</f>
        <v>R16</v>
      </c>
      <c r="AA29" s="102" t="str">
        <f ca="1">+IF(AND('Mapa de Riesgos'!$H$51="Media",'Mapa de Riesgos'!$L$51="Mayor"),CONCATENATE("R",'Mapa de Riesgos'!$A$51),"")</f>
        <v/>
      </c>
      <c r="AB29" s="102" t="str">
        <f ca="1">+IF(AND('Mapa de Riesgos'!$H$64="Media",'Mapa de Riesgos'!$L$64="Mayor"),CONCATENATE("R",'Mapa de Riesgos'!$A$64),"")</f>
        <v/>
      </c>
      <c r="AC29" s="102" t="str">
        <f>+IF(AND('Mapa de Riesgos'!$H$94="Media",'Mapa de Riesgos'!$L$94="Mayor"),CONCATENATE("R",'Mapa de Riesgos'!$A$94),"")</f>
        <v/>
      </c>
      <c r="AD29" s="133" t="str">
        <f ca="1">+IF(AND('Mapa de Riesgos'!$H$26="Media",'Mapa de Riesgos'!$L$26="Catastrófico"),CONCATENATE("R",'Mapa de Riesgos'!$A$26),"")</f>
        <v/>
      </c>
      <c r="AE29" s="103" t="str">
        <f ca="1">+IF(AND('Mapa de Riesgos'!$H$37="Media",'Mapa de Riesgos'!$L$37="Catastrófico"),CONCATENATE("R",'Mapa de Riesgos'!$A$37),"")</f>
        <v/>
      </c>
      <c r="AF29" s="103" t="str">
        <f ca="1">+IF(AND('Mapa de Riesgos'!$H$51="Media",'Mapa de Riesgos'!$L$51="Catastrófico"),CONCATENATE("R",'Mapa de Riesgos'!$A$51),"")</f>
        <v/>
      </c>
      <c r="AG29" s="103" t="str">
        <f ca="1">+IF(AND('Mapa de Riesgos'!$H$64="Media",'Mapa de Riesgos'!$L$64="Catastrófico"),CONCATENATE("R",'Mapa de Riesgos'!$A$64),"")</f>
        <v/>
      </c>
      <c r="AH29" s="129" t="str">
        <f>+IF(AND('Mapa de Riesgos'!$H$94="Media",'Mapa de Riesgos'!$L$94="Catastrófico"),CONCATENATE("R",'Mapa de Riesgos'!$A$94),"")</f>
        <v/>
      </c>
      <c r="AI29" s="100"/>
      <c r="AJ29" s="38"/>
      <c r="AK29" s="326"/>
      <c r="AL29" s="327"/>
      <c r="AM29" s="327"/>
      <c r="AN29" s="327"/>
      <c r="AO29" s="327"/>
      <c r="AP29" s="32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row>
    <row r="30" spans="1:76" ht="18.75" x14ac:dyDescent="0.3">
      <c r="A30" s="38"/>
      <c r="B30" s="294"/>
      <c r="C30" s="294"/>
      <c r="D30" s="295"/>
      <c r="E30" s="296" t="s">
        <v>87</v>
      </c>
      <c r="F30" s="297"/>
      <c r="G30" s="297"/>
      <c r="H30" s="297"/>
      <c r="I30" s="297"/>
      <c r="J30" s="122" t="str">
        <f ca="1">+IF(AND('Mapa de Riesgos'!$H$7="Baja",'Mapa de Riesgos'!$L$7="Leve"),CONCATENATE("R",'Mapa de Riesgos'!$A$7),"")</f>
        <v/>
      </c>
      <c r="K30" s="123" t="str">
        <f ca="1">+IF(AND('Mapa de Riesgos'!$H$27="Baja",'Mapa de Riesgos'!$L$27="Leve"),CONCATENATE("R",'Mapa de Riesgos'!$A$27),"")</f>
        <v/>
      </c>
      <c r="L30" s="123" t="str">
        <f ca="1">+IF(AND('Mapa de Riesgos'!$H$39="Baja",'Mapa de Riesgos'!$L$39="Leve"),CONCATENATE("R",'Mapa de Riesgos'!$A$39),"")</f>
        <v/>
      </c>
      <c r="M30" s="123" t="str">
        <f ca="1">+IF(AND('Mapa de Riesgos'!$H$53="Baja",'Mapa de Riesgos'!$L$53="Leve"),CONCATENATE("R",'Mapa de Riesgos'!$A$53),"")</f>
        <v/>
      </c>
      <c r="N30" s="123" t="str">
        <f ca="1">+IF(AND('Mapa de Riesgos'!$H$66="Baja",'Mapa de Riesgos'!$L$66="Leve"),CONCATENATE("R",'Mapa de Riesgos'!$A$66),"")</f>
        <v/>
      </c>
      <c r="O30" s="114" t="str">
        <f ca="1">+IF(AND('Mapa de Riesgos'!$H$7="Baja",'Mapa de Riesgos'!$L$7="Menor"),CONCATENATE("R",'Mapa de Riesgos'!$A$7),"")</f>
        <v/>
      </c>
      <c r="P30" s="115" t="str">
        <f ca="1">+IF(AND('Mapa de Riesgos'!$H$27="Baja",'Mapa de Riesgos'!$L$27="Menor"),CONCATENATE("R",'Mapa de Riesgos'!$A$27),"")</f>
        <v/>
      </c>
      <c r="Q30" s="115" t="str">
        <f ca="1">+IF(AND('Mapa de Riesgos'!$H$39="Baja",'Mapa de Riesgos'!$L$39="Menor"),CONCATENATE("R",'Mapa de Riesgos'!$A$39),"")</f>
        <v/>
      </c>
      <c r="R30" s="115" t="str">
        <f ca="1">+IF(AND('Mapa de Riesgos'!$H$53="Baja",'Mapa de Riesgos'!$L$53="Menor"),CONCATENATE("R",'Mapa de Riesgos'!$A$53),"")</f>
        <v/>
      </c>
      <c r="S30" s="115" t="str">
        <f ca="1">+IF(AND('Mapa de Riesgos'!$H$66="Baja",'Mapa de Riesgos'!$L$66="Menor"),CONCATENATE("R",'Mapa de Riesgos'!$A$66),"")</f>
        <v/>
      </c>
      <c r="T30" s="114" t="str">
        <f ca="1">+IF(AND('Mapa de Riesgos'!$H$7="Baja",'Mapa de Riesgos'!$L$7="Moderado"),CONCATENATE("R",'Mapa de Riesgos'!$A$7),"")</f>
        <v/>
      </c>
      <c r="U30" s="115" t="str">
        <f ca="1">+IF(AND('Mapa de Riesgos'!$H$27="Baja",'Mapa de Riesgos'!$L$27="Moderado"),CONCATENATE("R",'Mapa de Riesgos'!$A$27),"")</f>
        <v/>
      </c>
      <c r="V30" s="115" t="str">
        <f ca="1">+IF(AND('Mapa de Riesgos'!$H$39="Baja",'Mapa de Riesgos'!$L$39="Moderado"),CONCATENATE("R",'Mapa de Riesgos'!$A$39),"")</f>
        <v/>
      </c>
      <c r="W30" s="115" t="str">
        <f ca="1">+IF(AND('Mapa de Riesgos'!$H$53="Baja",'Mapa de Riesgos'!$L$53="Moderado"),CONCATENATE("R",'Mapa de Riesgos'!$A$53),"")</f>
        <v/>
      </c>
      <c r="X30" s="115" t="str">
        <f ca="1">+IF(AND('Mapa de Riesgos'!$H$66="Baja",'Mapa de Riesgos'!$L$66="Moderado"),CONCATENATE("R",'Mapa de Riesgos'!$A$66),"")</f>
        <v/>
      </c>
      <c r="Y30" s="106" t="str">
        <f ca="1">+IF(AND('Mapa de Riesgos'!$H$7="Baja",'Mapa de Riesgos'!$L$7="Mayor"),CONCATENATE("R",'Mapa de Riesgos'!$A$7),"")</f>
        <v/>
      </c>
      <c r="Z30" s="107" t="str">
        <f ca="1">+IF(AND('Mapa de Riesgos'!$H$27="Baja",'Mapa de Riesgos'!$L$27="Mayor"),CONCATENATE("R",'Mapa de Riesgos'!$A$27),"")</f>
        <v/>
      </c>
      <c r="AA30" s="107" t="str">
        <f ca="1">+IF(AND('Mapa de Riesgos'!$H$39="Baja",'Mapa de Riesgos'!$L$39="Mayor"),CONCATENATE("R",'Mapa de Riesgos'!$A$39),"")</f>
        <v/>
      </c>
      <c r="AB30" s="107" t="str">
        <f ca="1">+IF(AND('Mapa de Riesgos'!$H$53="Baja",'Mapa de Riesgos'!$L$53="Mayor"),CONCATENATE("R",'Mapa de Riesgos'!$A$53),"")</f>
        <v/>
      </c>
      <c r="AC30" s="107" t="str">
        <f ca="1">+IF(AND('Mapa de Riesgos'!$H$66="Baja",'Mapa de Riesgos'!$L$66="Mayor"),CONCATENATE("R",'Mapa de Riesgos'!$A$66),"")</f>
        <v/>
      </c>
      <c r="AD30" s="132" t="str">
        <f ca="1">+IF(AND('Mapa de Riesgos'!$H$7="Baja",'Mapa de Riesgos'!$L$7="Catastrófico"),CONCATENATE("R",'Mapa de Riesgos'!$A$7),"")</f>
        <v/>
      </c>
      <c r="AE30" s="127" t="str">
        <f ca="1">+IF(AND('Mapa de Riesgos'!$H$27="Baja",'Mapa de Riesgos'!$L$27="Catastrófico"),CONCATENATE("R",'Mapa de Riesgos'!$A$27),"")</f>
        <v/>
      </c>
      <c r="AF30" s="127" t="str">
        <f ca="1">+IF(AND('Mapa de Riesgos'!$H$39="Baja",'Mapa de Riesgos'!$L$39="Catastrófico"),CONCATENATE("R",'Mapa de Riesgos'!$A$39),"")</f>
        <v/>
      </c>
      <c r="AG30" s="127" t="str">
        <f ca="1">+IF(AND('Mapa de Riesgos'!$H$53="Baja",'Mapa de Riesgos'!$L$53="Catastrófico"),CONCATENATE("R",'Mapa de Riesgos'!$A$53),"")</f>
        <v/>
      </c>
      <c r="AH30" s="128" t="str">
        <f ca="1">+IF(AND('Mapa de Riesgos'!$H$66="Baja",'Mapa de Riesgos'!$L$66="Catastrófico"),CONCATENATE("R",'Mapa de Riesgos'!$A$66),"")</f>
        <v/>
      </c>
      <c r="AI30" s="100"/>
      <c r="AJ30" s="38"/>
      <c r="AK30" s="329" t="s">
        <v>88</v>
      </c>
      <c r="AL30" s="330"/>
      <c r="AM30" s="330"/>
      <c r="AN30" s="330"/>
      <c r="AO30" s="330"/>
      <c r="AP30" s="331"/>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row>
    <row r="31" spans="1:76" ht="18.75" x14ac:dyDescent="0.3">
      <c r="A31" s="38"/>
      <c r="B31" s="294"/>
      <c r="C31" s="294"/>
      <c r="D31" s="295"/>
      <c r="E31" s="298"/>
      <c r="F31" s="299"/>
      <c r="G31" s="299"/>
      <c r="H31" s="299"/>
      <c r="I31" s="299"/>
      <c r="J31" s="124" t="str">
        <f ca="1">+IF(AND('Mapa de Riesgos'!$H$9="Baja",'Mapa de Riesgos'!$L$9="Leve"),CONCATENATE("R",'Mapa de Riesgos'!$A$9),"")</f>
        <v/>
      </c>
      <c r="K31" s="105" t="str">
        <f ca="1">+IF(AND('Mapa de Riesgos'!$H$28="Baja",'Mapa de Riesgos'!$L$28="Leve"),CONCATENATE("R",'Mapa de Riesgos'!$A$28),"")</f>
        <v/>
      </c>
      <c r="L31" s="105" t="str">
        <f ca="1">+IF(AND('Mapa de Riesgos'!$H$40="Baja",'Mapa de Riesgos'!$L$40="Leve"),CONCATENATE("R",'Mapa de Riesgos'!$A$40),"")</f>
        <v/>
      </c>
      <c r="M31" s="105" t="str">
        <f ca="1">+IF(AND('Mapa de Riesgos'!$H$56="Baja",'Mapa de Riesgos'!$L$56="Leve"),CONCATENATE("R",'Mapa de Riesgos'!$A$56),"")</f>
        <v>R26</v>
      </c>
      <c r="N31" s="105" t="str">
        <f ca="1">+IF(AND('Mapa de Riesgos'!$H$68="Baja",'Mapa de Riesgos'!$L$68="Leve"),CONCATENATE("R",'Mapa de Riesgos'!$A$68),"")</f>
        <v/>
      </c>
      <c r="O31" s="117" t="str">
        <f ca="1">+IF(AND('Mapa de Riesgos'!$H$9="Baja",'Mapa de Riesgos'!$L$9="Menor"),CONCATENATE("R",'Mapa de Riesgos'!$A$9),"")</f>
        <v/>
      </c>
      <c r="P31" s="104" t="str">
        <f ca="1">+IF(AND('Mapa de Riesgos'!$H$28="Baja",'Mapa de Riesgos'!$L$28="Menor"),CONCATENATE("R",'Mapa de Riesgos'!$A$28),"")</f>
        <v/>
      </c>
      <c r="Q31" s="104" t="str">
        <f ca="1">+IF(AND('Mapa de Riesgos'!$H$40="Baja",'Mapa de Riesgos'!$L$40="Menor"),CONCATENATE("R",'Mapa de Riesgos'!$A$40),"")</f>
        <v/>
      </c>
      <c r="R31" s="104" t="str">
        <f ca="1">+IF(AND('Mapa de Riesgos'!$H$56="Baja",'Mapa de Riesgos'!$L$56="Menor"),CONCATENATE("R",'Mapa de Riesgos'!$A$56),"")</f>
        <v/>
      </c>
      <c r="S31" s="104" t="str">
        <f ca="1">+IF(AND('Mapa de Riesgos'!$H$68="Baja",'Mapa de Riesgos'!$L$68="Menor"),CONCATENATE("R",'Mapa de Riesgos'!$A$68),"")</f>
        <v/>
      </c>
      <c r="T31" s="117" t="str">
        <f ca="1">+IF(AND('Mapa de Riesgos'!$H$9="Baja",'Mapa de Riesgos'!$L$9="Moderado"),CONCATENATE("R",'Mapa de Riesgos'!$A$9),"")</f>
        <v/>
      </c>
      <c r="U31" s="104" t="str">
        <f ca="1">+IF(AND('Mapa de Riesgos'!$H$28="Baja",'Mapa de Riesgos'!$L$28="Moderado"),CONCATENATE("R",'Mapa de Riesgos'!$A$28),"")</f>
        <v/>
      </c>
      <c r="V31" s="104" t="str">
        <f ca="1">+IF(AND('Mapa de Riesgos'!$H$40="Baja",'Mapa de Riesgos'!$L$40="Moderado"),CONCATENATE("R",'Mapa de Riesgos'!$A$40),"")</f>
        <v/>
      </c>
      <c r="W31" s="104" t="str">
        <f ca="1">+IF(AND('Mapa de Riesgos'!$H$56="Baja",'Mapa de Riesgos'!$L$56="Moderado"),CONCATENATE("R",'Mapa de Riesgos'!$A$56),"")</f>
        <v/>
      </c>
      <c r="X31" s="104" t="str">
        <f ca="1">+IF(AND('Mapa de Riesgos'!$H$68="Baja",'Mapa de Riesgos'!$L$68="Moderado"),CONCATENATE("R",'Mapa de Riesgos'!$A$68),"")</f>
        <v/>
      </c>
      <c r="Y31" s="109" t="str">
        <f ca="1">+IF(AND('Mapa de Riesgos'!$H$9="Baja",'Mapa de Riesgos'!$L$9="Mayor"),CONCATENATE("R",'Mapa de Riesgos'!$A$9),"")</f>
        <v/>
      </c>
      <c r="Z31" s="102" t="str">
        <f ca="1">+IF(AND('Mapa de Riesgos'!$H$28="Baja",'Mapa de Riesgos'!$L$28="Mayor"),CONCATENATE("R",'Mapa de Riesgos'!$A$28),"")</f>
        <v/>
      </c>
      <c r="AA31" s="102" t="str">
        <f ca="1">+IF(AND('Mapa de Riesgos'!$H$40="Baja",'Mapa de Riesgos'!$L$40="Mayor"),CONCATENATE("R",'Mapa de Riesgos'!$A$40),"")</f>
        <v/>
      </c>
      <c r="AB31" s="102" t="str">
        <f ca="1">+IF(AND('Mapa de Riesgos'!$H$56="Baja",'Mapa de Riesgos'!$L$56="Mayor"),CONCATENATE("R",'Mapa de Riesgos'!$A$56),"")</f>
        <v/>
      </c>
      <c r="AC31" s="102" t="str">
        <f ca="1">+IF(AND('Mapa de Riesgos'!$H$68="Baja",'Mapa de Riesgos'!$L$68="Mayor"),CONCATENATE("R",'Mapa de Riesgos'!$A$68),"")</f>
        <v/>
      </c>
      <c r="AD31" s="133" t="str">
        <f ca="1">+IF(AND('Mapa de Riesgos'!$H$9="Baja",'Mapa de Riesgos'!$L$9="Catastrófico"),CONCATENATE("R",'Mapa de Riesgos'!$A$9),"")</f>
        <v/>
      </c>
      <c r="AE31" s="103" t="str">
        <f ca="1">+IF(AND('Mapa de Riesgos'!$H$28="Baja",'Mapa de Riesgos'!$L$28="Catastrófico"),CONCATENATE("R",'Mapa de Riesgos'!$A$28),"")</f>
        <v/>
      </c>
      <c r="AF31" s="103" t="str">
        <f ca="1">+IF(AND('Mapa de Riesgos'!$H$40="Baja",'Mapa de Riesgos'!$L$40="Catastrófico"),CONCATENATE("R",'Mapa de Riesgos'!$A$40),"")</f>
        <v/>
      </c>
      <c r="AG31" s="103" t="str">
        <f ca="1">+IF(AND('Mapa de Riesgos'!$H$56="Baja",'Mapa de Riesgos'!$L$56="Catastrófico"),CONCATENATE("R",'Mapa de Riesgos'!$A$56),"")</f>
        <v/>
      </c>
      <c r="AH31" s="129" t="str">
        <f ca="1">+IF(AND('Mapa de Riesgos'!$H$68="Baja",'Mapa de Riesgos'!$L$68="Catastrófico"),CONCATENATE("R",'Mapa de Riesgos'!$A$68),"")</f>
        <v/>
      </c>
      <c r="AI31" s="100"/>
      <c r="AJ31" s="38"/>
      <c r="AK31" s="332"/>
      <c r="AL31" s="333"/>
      <c r="AM31" s="333"/>
      <c r="AN31" s="333"/>
      <c r="AO31" s="333"/>
      <c r="AP31" s="334"/>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row>
    <row r="32" spans="1:76" ht="18.75" x14ac:dyDescent="0.3">
      <c r="A32" s="38"/>
      <c r="B32" s="294"/>
      <c r="C32" s="294"/>
      <c r="D32" s="295"/>
      <c r="E32" s="298"/>
      <c r="F32" s="299"/>
      <c r="G32" s="299"/>
      <c r="H32" s="299"/>
      <c r="I32" s="299"/>
      <c r="J32" s="124" t="str">
        <f ca="1">+IF(AND('Mapa de Riesgos'!$H$15="Baja",'Mapa de Riesgos'!$L$15="Leve"),CONCATENATE("R",'Mapa de Riesgos'!$A$15),"")</f>
        <v/>
      </c>
      <c r="K32" s="105" t="str">
        <f ca="1">+IF(AND('Mapa de Riesgos'!$H$29="Baja",'Mapa de Riesgos'!$L$29="Leve"),CONCATENATE("R",'Mapa de Riesgos'!$A$29),"")</f>
        <v/>
      </c>
      <c r="L32" s="105" t="str">
        <f ca="1">+IF(AND('Mapa de Riesgos'!$H$42="Baja",'Mapa de Riesgos'!$L$42="Leve"),CONCATENATE("R",'Mapa de Riesgos'!$A$42),"")</f>
        <v/>
      </c>
      <c r="M32" s="105" t="str">
        <f ca="1">+IF(AND('Mapa de Riesgos'!$H$57="Baja",'Mapa de Riesgos'!$L$57="Leve"),CONCATENATE("R",'Mapa de Riesgos'!$A$57),"")</f>
        <v/>
      </c>
      <c r="N32" s="105" t="str">
        <f ca="1">+IF(AND('Mapa de Riesgos'!$H$70="Baja",'Mapa de Riesgos'!$L$70="Leve"),CONCATENATE("R",'Mapa de Riesgos'!$A$70),"")</f>
        <v/>
      </c>
      <c r="O32" s="117" t="str">
        <f ca="1">+IF(AND('Mapa de Riesgos'!$H$15="Baja",'Mapa de Riesgos'!$L$15="Menor"),CONCATENATE("R",'Mapa de Riesgos'!$A$15),"")</f>
        <v/>
      </c>
      <c r="P32" s="104" t="str">
        <f ca="1">+IF(AND('Mapa de Riesgos'!$H$29="Baja",'Mapa de Riesgos'!$L$29="Menor"),CONCATENATE("R",'Mapa de Riesgos'!$A$29),"")</f>
        <v/>
      </c>
      <c r="Q32" s="104" t="str">
        <f ca="1">+IF(AND('Mapa de Riesgos'!$H$42="Baja",'Mapa de Riesgos'!$L$42="Menor"),CONCATENATE("R",'Mapa de Riesgos'!$A$42),"")</f>
        <v>R19</v>
      </c>
      <c r="R32" s="104" t="str">
        <f ca="1">+IF(AND('Mapa de Riesgos'!$H$57="Baja",'Mapa de Riesgos'!$L$57="Menor"),CONCATENATE("R",'Mapa de Riesgos'!$A$57),"")</f>
        <v/>
      </c>
      <c r="S32" s="104" t="str">
        <f ca="1">+IF(AND('Mapa de Riesgos'!$H$70="Baja",'Mapa de Riesgos'!$L$70="Menor"),CONCATENATE("R",'Mapa de Riesgos'!$A$70),"")</f>
        <v/>
      </c>
      <c r="T32" s="117" t="str">
        <f ca="1">+IF(AND('Mapa de Riesgos'!$H$15="Baja",'Mapa de Riesgos'!$L$15="Moderado"),CONCATENATE("R",'Mapa de Riesgos'!$A$15),"")</f>
        <v/>
      </c>
      <c r="U32" s="104" t="str">
        <f ca="1">+IF(AND('Mapa de Riesgos'!$H$29="Baja",'Mapa de Riesgos'!$L$29="Moderado"),CONCATENATE("R",'Mapa de Riesgos'!$A$29),"")</f>
        <v/>
      </c>
      <c r="V32" s="104" t="str">
        <f ca="1">+IF(AND('Mapa de Riesgos'!$H$42="Baja",'Mapa de Riesgos'!$L$42="Moderado"),CONCATENATE("R",'Mapa de Riesgos'!$A$42),"")</f>
        <v/>
      </c>
      <c r="W32" s="104" t="str">
        <f ca="1">+IF(AND('Mapa de Riesgos'!$H$57="Baja",'Mapa de Riesgos'!$L$57="Moderado"),CONCATENATE("R",'Mapa de Riesgos'!$A$57),"")</f>
        <v/>
      </c>
      <c r="X32" s="104" t="str">
        <f ca="1">+IF(AND('Mapa de Riesgos'!$H$70="Baja",'Mapa de Riesgos'!$L$70="Moderado"),CONCATENATE("R",'Mapa de Riesgos'!$A$70),"")</f>
        <v/>
      </c>
      <c r="Y32" s="109" t="str">
        <f ca="1">+IF(AND('Mapa de Riesgos'!$H$15="Baja",'Mapa de Riesgos'!$L$15="Mayor"),CONCATENATE("R",'Mapa de Riesgos'!$A$15),"")</f>
        <v/>
      </c>
      <c r="Z32" s="102" t="str">
        <f ca="1">+IF(AND('Mapa de Riesgos'!$H$29="Baja",'Mapa de Riesgos'!$L$29="Mayor"),CONCATENATE("R",'Mapa de Riesgos'!$A$29),"")</f>
        <v/>
      </c>
      <c r="AA32" s="102" t="str">
        <f ca="1">+IF(AND('Mapa de Riesgos'!$H$42="Baja",'Mapa de Riesgos'!$L$42="Mayor"),CONCATENATE("R",'Mapa de Riesgos'!$A$42),"")</f>
        <v/>
      </c>
      <c r="AB32" s="102" t="str">
        <f ca="1">+IF(AND('Mapa de Riesgos'!$H$57="Baja",'Mapa de Riesgos'!$L$57="Mayor"),CONCATENATE("R",'Mapa de Riesgos'!$A$57),"")</f>
        <v/>
      </c>
      <c r="AC32" s="102" t="str">
        <f ca="1">+IF(AND('Mapa de Riesgos'!$H$70="Baja",'Mapa de Riesgos'!$L$70="Mayor"),CONCATENATE("R",'Mapa de Riesgos'!$A$70),"")</f>
        <v/>
      </c>
      <c r="AD32" s="133" t="str">
        <f ca="1">+IF(AND('Mapa de Riesgos'!$H$15="Baja",'Mapa de Riesgos'!$L$15="Catastrófico"),CONCATENATE("R",'Mapa de Riesgos'!$A$15),"")</f>
        <v/>
      </c>
      <c r="AE32" s="103" t="str">
        <f ca="1">+IF(AND('Mapa de Riesgos'!$H$29="Baja",'Mapa de Riesgos'!$L$29="Catastrófico"),CONCATENATE("R",'Mapa de Riesgos'!$A$29),"")</f>
        <v/>
      </c>
      <c r="AF32" s="103" t="str">
        <f ca="1">+IF(AND('Mapa de Riesgos'!$H$42="Baja",'Mapa de Riesgos'!$L$42="Catastrófico"),CONCATENATE("R",'Mapa de Riesgos'!$A$42),"")</f>
        <v/>
      </c>
      <c r="AG32" s="103" t="str">
        <f ca="1">+IF(AND('Mapa de Riesgos'!$H$57="Baja",'Mapa de Riesgos'!$L$57="Catastrófico"),CONCATENATE("R",'Mapa de Riesgos'!$A$57),"")</f>
        <v/>
      </c>
      <c r="AH32" s="129" t="str">
        <f ca="1">+IF(AND('Mapa de Riesgos'!$H$70="Baja",'Mapa de Riesgos'!$L$70="Catastrófico"),CONCATENATE("R",'Mapa de Riesgos'!$A$70),"")</f>
        <v/>
      </c>
      <c r="AI32" s="100"/>
      <c r="AJ32" s="38"/>
      <c r="AK32" s="332"/>
      <c r="AL32" s="333"/>
      <c r="AM32" s="333"/>
      <c r="AN32" s="333"/>
      <c r="AO32" s="333"/>
      <c r="AP32" s="334"/>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row>
    <row r="33" spans="1:76" ht="18.75" x14ac:dyDescent="0.3">
      <c r="A33" s="38"/>
      <c r="B33" s="294"/>
      <c r="C33" s="294"/>
      <c r="D33" s="295"/>
      <c r="E33" s="298"/>
      <c r="F33" s="299"/>
      <c r="G33" s="299"/>
      <c r="H33" s="299"/>
      <c r="I33" s="299"/>
      <c r="J33" s="124" t="str">
        <f ca="1">+IF(AND('Mapa de Riesgos'!$H$17="Baja",'Mapa de Riesgos'!$L$17="Leve"),CONCATENATE("R",'Mapa de Riesgos'!$A$17),"")</f>
        <v/>
      </c>
      <c r="K33" s="105" t="str">
        <f ca="1">+IF(AND('Mapa de Riesgos'!$H$30="Baja",'Mapa de Riesgos'!$L$30="Leve"),CONCATENATE("R",'Mapa de Riesgos'!$A$30),"")</f>
        <v/>
      </c>
      <c r="L33" s="105" t="str">
        <f ca="1">+IF(AND('Mapa de Riesgos'!$H$44="Baja",'Mapa de Riesgos'!$L$44="Leve"),CONCATENATE("R",'Mapa de Riesgos'!$A$44),"")</f>
        <v/>
      </c>
      <c r="M33" s="105" t="str">
        <f ca="1">+IF(AND('Mapa de Riesgos'!$H$58="Baja",'Mapa de Riesgos'!$L$58="Leve"),CONCATENATE("R",'Mapa de Riesgos'!$A$58),"")</f>
        <v/>
      </c>
      <c r="N33" s="105" t="str">
        <f ca="1">+IF(AND('Mapa de Riesgos'!$H$72="Baja",'Mapa de Riesgos'!$L$72="Leve"),CONCATENATE("R",'Mapa de Riesgos'!$A$72),"")</f>
        <v/>
      </c>
      <c r="O33" s="117" t="str">
        <f ca="1">+IF(AND('Mapa de Riesgos'!$H$17="Baja",'Mapa de Riesgos'!$L$17="Menor"),CONCATENATE("R",'Mapa de Riesgos'!$A$17),"")</f>
        <v/>
      </c>
      <c r="P33" s="104" t="str">
        <f ca="1">+IF(AND('Mapa de Riesgos'!$H$30="Baja",'Mapa de Riesgos'!$L$30="Menor"),CONCATENATE("R",'Mapa de Riesgos'!$A$30),"")</f>
        <v/>
      </c>
      <c r="Q33" s="104" t="str">
        <f ca="1">+IF(AND('Mapa de Riesgos'!$H$44="Baja",'Mapa de Riesgos'!$L$44="Menor"),CONCATENATE("R",'Mapa de Riesgos'!$A$44),"")</f>
        <v>R20</v>
      </c>
      <c r="R33" s="104" t="str">
        <f ca="1">+IF(AND('Mapa de Riesgos'!$H$58="Baja",'Mapa de Riesgos'!$L$58="Menor"),CONCATENATE("R",'Mapa de Riesgos'!$A$58),"")</f>
        <v/>
      </c>
      <c r="S33" s="104" t="str">
        <f ca="1">+IF(AND('Mapa de Riesgos'!$H$72="Baja",'Mapa de Riesgos'!$L$72="Menor"),CONCATENATE("R",'Mapa de Riesgos'!$A$72),"")</f>
        <v/>
      </c>
      <c r="T33" s="117" t="str">
        <f ca="1">+IF(AND('Mapa de Riesgos'!$H$17="Baja",'Mapa de Riesgos'!$L$17="Moderado"),CONCATENATE("R",'Mapa de Riesgos'!$A$17),"")</f>
        <v/>
      </c>
      <c r="U33" s="104" t="str">
        <f ca="1">+IF(AND('Mapa de Riesgos'!$H$30="Baja",'Mapa de Riesgos'!$L$30="Moderado"),CONCATENATE("R",'Mapa de Riesgos'!$A$30),"")</f>
        <v/>
      </c>
      <c r="V33" s="104" t="str">
        <f ca="1">+IF(AND('Mapa de Riesgos'!$H$44="Baja",'Mapa de Riesgos'!$L$44="Moderado"),CONCATENATE("R",'Mapa de Riesgos'!$A$44),"")</f>
        <v/>
      </c>
      <c r="W33" s="104" t="str">
        <f ca="1">+IF(AND('Mapa de Riesgos'!$H$58="Baja",'Mapa de Riesgos'!$L$58="Moderado"),CONCATENATE("R",'Mapa de Riesgos'!$A$58),"")</f>
        <v/>
      </c>
      <c r="X33" s="104" t="str">
        <f ca="1">+IF(AND('Mapa de Riesgos'!$H$72="Baja",'Mapa de Riesgos'!$L$72="Moderado"),CONCATENATE("R",'Mapa de Riesgos'!$A$72),"")</f>
        <v/>
      </c>
      <c r="Y33" s="109" t="str">
        <f ca="1">+IF(AND('Mapa de Riesgos'!$H$17="Baja",'Mapa de Riesgos'!$L$17="Mayor"),CONCATENATE("R",'Mapa de Riesgos'!$A$17),"")</f>
        <v/>
      </c>
      <c r="Z33" s="102" t="str">
        <f ca="1">+IF(AND('Mapa de Riesgos'!$H$30="Baja",'Mapa de Riesgos'!$L$30="Mayor"),CONCATENATE("R",'Mapa de Riesgos'!$A$30),"")</f>
        <v/>
      </c>
      <c r="AA33" s="102" t="str">
        <f ca="1">+IF(AND('Mapa de Riesgos'!$H$44="Baja",'Mapa de Riesgos'!$L$44="Mayor"),CONCATENATE("R",'Mapa de Riesgos'!$A$44),"")</f>
        <v/>
      </c>
      <c r="AB33" s="102" t="str">
        <f ca="1">+IF(AND('Mapa de Riesgos'!$H$58="Baja",'Mapa de Riesgos'!$L$58="Mayor"),CONCATENATE("R",'Mapa de Riesgos'!$A$58),"")</f>
        <v/>
      </c>
      <c r="AC33" s="102" t="str">
        <f ca="1">+IF(AND('Mapa de Riesgos'!$H$72="Baja",'Mapa de Riesgos'!$L$72="Mayor"),CONCATENATE("R",'Mapa de Riesgos'!$A$72),"")</f>
        <v/>
      </c>
      <c r="AD33" s="133" t="str">
        <f ca="1">+IF(AND('Mapa de Riesgos'!$H$17="Baja",'Mapa de Riesgos'!$L$17="Catastrófico"),CONCATENATE("R",'Mapa de Riesgos'!$A$17),"")</f>
        <v/>
      </c>
      <c r="AE33" s="103" t="str">
        <f ca="1">+IF(AND('Mapa de Riesgos'!$H$30="Baja",'Mapa de Riesgos'!$L$30="Catastrófico"),CONCATENATE("R",'Mapa de Riesgos'!$A$30),"")</f>
        <v/>
      </c>
      <c r="AF33" s="103" t="str">
        <f ca="1">+IF(AND('Mapa de Riesgos'!$H$44="Baja",'Mapa de Riesgos'!$L$44="Catastrófico"),CONCATENATE("R",'Mapa de Riesgos'!$A$44),"")</f>
        <v/>
      </c>
      <c r="AG33" s="103" t="str">
        <f ca="1">+IF(AND('Mapa de Riesgos'!$H$58="Baja",'Mapa de Riesgos'!$L$58="Catastrófico"),CONCATENATE("R",'Mapa de Riesgos'!$A$58),"")</f>
        <v/>
      </c>
      <c r="AH33" s="129" t="str">
        <f ca="1">+IF(AND('Mapa de Riesgos'!$H$72="Baja",'Mapa de Riesgos'!$L$72="Catastrófico"),CONCATENATE("R",'Mapa de Riesgos'!$A$72),"")</f>
        <v/>
      </c>
      <c r="AI33" s="100"/>
      <c r="AJ33" s="38"/>
      <c r="AK33" s="332"/>
      <c r="AL33" s="333"/>
      <c r="AM33" s="333"/>
      <c r="AN33" s="333"/>
      <c r="AO33" s="333"/>
      <c r="AP33" s="334"/>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row>
    <row r="34" spans="1:76" ht="18.75" x14ac:dyDescent="0.3">
      <c r="A34" s="38"/>
      <c r="B34" s="294"/>
      <c r="C34" s="294"/>
      <c r="D34" s="295"/>
      <c r="E34" s="298"/>
      <c r="F34" s="299"/>
      <c r="G34" s="299"/>
      <c r="H34" s="299"/>
      <c r="I34" s="299"/>
      <c r="J34" s="124" t="str">
        <f ca="1">+IF(AND('Mapa de Riesgos'!$H$19="Baja",'Mapa de Riesgos'!$L$19="Leve"),CONCATENATE("R",'Mapa de Riesgos'!$A$19),"")</f>
        <v/>
      </c>
      <c r="K34" s="105" t="str">
        <f ca="1">+IF(AND('Mapa de Riesgos'!$H$32="Baja",'Mapa de Riesgos'!$L$32="Leve"),CONCATENATE("R",'Mapa de Riesgos'!$A$32),"")</f>
        <v/>
      </c>
      <c r="L34" s="105" t="str">
        <f ca="1">+IF(AND('Mapa de Riesgos'!$H$45="Baja",'Mapa de Riesgos'!$L$45="Leve"),CONCATENATE("R",'Mapa de Riesgos'!$A$45),"")</f>
        <v/>
      </c>
      <c r="M34" s="105" t="str">
        <f ca="1">+IF(AND('Mapa de Riesgos'!$H$60="Baja",'Mapa de Riesgos'!$L$60="Leve"),CONCATENATE("R",'Mapa de Riesgos'!$A$60),"")</f>
        <v/>
      </c>
      <c r="N34" s="105" t="str">
        <f>+IF(AND('Mapa de Riesgos'!$H$76="Baja",'Mapa de Riesgos'!$L$76="Leve"),CONCATENATE("R",'Mapa de Riesgos'!$A$76),"")</f>
        <v/>
      </c>
      <c r="O34" s="117" t="str">
        <f ca="1">+IF(AND('Mapa de Riesgos'!$H$19="Baja",'Mapa de Riesgos'!$L$19="Menor"),CONCATENATE("R",'Mapa de Riesgos'!$A$19),"")</f>
        <v/>
      </c>
      <c r="P34" s="104" t="str">
        <f ca="1">+IF(AND('Mapa de Riesgos'!$H$32="Baja",'Mapa de Riesgos'!$L$32="Menor"),CONCATENATE("R",'Mapa de Riesgos'!$A$32),"")</f>
        <v/>
      </c>
      <c r="Q34" s="104" t="str">
        <f ca="1">+IF(AND('Mapa de Riesgos'!$H$45="Baja",'Mapa de Riesgos'!$L$45="Menor"),CONCATENATE("R",'Mapa de Riesgos'!$A$45),"")</f>
        <v/>
      </c>
      <c r="R34" s="104" t="str">
        <f ca="1">+IF(AND('Mapa de Riesgos'!$H$60="Baja",'Mapa de Riesgos'!$L$60="Menor"),CONCATENATE("R",'Mapa de Riesgos'!$A$60),"")</f>
        <v/>
      </c>
      <c r="S34" s="104" t="str">
        <f>+IF(AND('Mapa de Riesgos'!$H$76="Baja",'Mapa de Riesgos'!$L$76="Menor"),CONCATENATE("R",'Mapa de Riesgos'!$A$76),"")</f>
        <v/>
      </c>
      <c r="T34" s="117" t="str">
        <f ca="1">+IF(AND('Mapa de Riesgos'!$H$19="Baja",'Mapa de Riesgos'!$L$19="Moderado"),CONCATENATE("R",'Mapa de Riesgos'!$A$19),"")</f>
        <v/>
      </c>
      <c r="U34" s="104" t="str">
        <f ca="1">+IF(AND('Mapa de Riesgos'!$H$32="Baja",'Mapa de Riesgos'!$L$32="Moderado"),CONCATENATE("R",'Mapa de Riesgos'!$A$32),"")</f>
        <v/>
      </c>
      <c r="V34" s="104" t="str">
        <f ca="1">+IF(AND('Mapa de Riesgos'!$H$45="Baja",'Mapa de Riesgos'!$L$45="Moderado"),CONCATENATE("R",'Mapa de Riesgos'!$A$45),"")</f>
        <v/>
      </c>
      <c r="W34" s="104" t="str">
        <f ca="1">+IF(AND('Mapa de Riesgos'!$H$60="Baja",'Mapa de Riesgos'!$L$60="Moderado"),CONCATENATE("R",'Mapa de Riesgos'!$A$60),"")</f>
        <v>R29</v>
      </c>
      <c r="X34" s="104" t="str">
        <f>+IF(AND('Mapa de Riesgos'!$H$76="Baja",'Mapa de Riesgos'!$L$76="Moderado"),CONCATENATE("R",'Mapa de Riesgos'!$A$76),"")</f>
        <v/>
      </c>
      <c r="Y34" s="109" t="str">
        <f ca="1">+IF(AND('Mapa de Riesgos'!$H$19="Baja",'Mapa de Riesgos'!$L$19="Mayor"),CONCATENATE("R",'Mapa de Riesgos'!$A$19),"")</f>
        <v/>
      </c>
      <c r="Z34" s="102" t="str">
        <f ca="1">+IF(AND('Mapa de Riesgos'!$H$32="Baja",'Mapa de Riesgos'!$L$32="Mayor"),CONCATENATE("R",'Mapa de Riesgos'!$A$32),"")</f>
        <v/>
      </c>
      <c r="AA34" s="102" t="str">
        <f ca="1">+IF(AND('Mapa de Riesgos'!$H$45="Baja",'Mapa de Riesgos'!$L$45="Mayor"),CONCATENATE("R",'Mapa de Riesgos'!$A$45),"")</f>
        <v/>
      </c>
      <c r="AB34" s="102" t="str">
        <f ca="1">+IF(AND('Mapa de Riesgos'!$H$60="Baja",'Mapa de Riesgos'!$L$60="Mayor"),CONCATENATE("R",'Mapa de Riesgos'!$A$60),"")</f>
        <v/>
      </c>
      <c r="AC34" s="102" t="str">
        <f>+IF(AND('Mapa de Riesgos'!$H$76="Baja",'Mapa de Riesgos'!$L$76="Mayor"),CONCATENATE("R",'Mapa de Riesgos'!$A$76),"")</f>
        <v/>
      </c>
      <c r="AD34" s="133" t="str">
        <f ca="1">+IF(AND('Mapa de Riesgos'!$H$19="Baja",'Mapa de Riesgos'!$L$19="Catastrófico"),CONCATENATE("R",'Mapa de Riesgos'!$A$19),"")</f>
        <v/>
      </c>
      <c r="AE34" s="103" t="str">
        <f ca="1">+IF(AND('Mapa de Riesgos'!$H$32="Baja",'Mapa de Riesgos'!$L$32="Catastrófico"),CONCATENATE("R",'Mapa de Riesgos'!$A$32),"")</f>
        <v/>
      </c>
      <c r="AF34" s="103" t="str">
        <f ca="1">+IF(AND('Mapa de Riesgos'!$H$45="Baja",'Mapa de Riesgos'!$L$45="Catastrófico"),CONCATENATE("R",'Mapa de Riesgos'!$A$45),"")</f>
        <v/>
      </c>
      <c r="AG34" s="103" t="str">
        <f ca="1">+IF(AND('Mapa de Riesgos'!$H$60="Baja",'Mapa de Riesgos'!$L$60="Catastrófico"),CONCATENATE("R",'Mapa de Riesgos'!$A$60),"")</f>
        <v/>
      </c>
      <c r="AH34" s="129" t="str">
        <f>+IF(AND('Mapa de Riesgos'!$H$76="Baja",'Mapa de Riesgos'!$L$76="Catastrófico"),CONCATENATE("R",'Mapa de Riesgos'!$A$76),"")</f>
        <v/>
      </c>
      <c r="AI34" s="100"/>
      <c r="AJ34" s="38"/>
      <c r="AK34" s="332"/>
      <c r="AL34" s="333"/>
      <c r="AM34" s="333"/>
      <c r="AN34" s="333"/>
      <c r="AO34" s="333"/>
      <c r="AP34" s="334"/>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row>
    <row r="35" spans="1:76" ht="18.75" x14ac:dyDescent="0.3">
      <c r="A35" s="38"/>
      <c r="B35" s="294"/>
      <c r="C35" s="294"/>
      <c r="D35" s="295"/>
      <c r="E35" s="298"/>
      <c r="F35" s="299"/>
      <c r="G35" s="299"/>
      <c r="H35" s="299"/>
      <c r="I35" s="299"/>
      <c r="J35" s="124" t="str">
        <f ca="1">+IF(AND('Mapa de Riesgos'!$H$21="Baja",'Mapa de Riesgos'!$L$21="Leve"),CONCATENATE("R",'Mapa de Riesgos'!$A$21),"")</f>
        <v/>
      </c>
      <c r="K35" s="105" t="str">
        <f ca="1">+IF(AND('Mapa de Riesgos'!$H$34="Baja",'Mapa de Riesgos'!$L$34="Leve"),CONCATENATE("R",'Mapa de Riesgos'!$A$34),"")</f>
        <v/>
      </c>
      <c r="L35" s="105" t="e">
        <f>+IF(AND('Mapa de Riesgos'!#REF!="Baja",'Mapa de Riesgos'!#REF!="Leve"),CONCATENATE("R",'Mapa de Riesgos'!#REF!),"")</f>
        <v>#REF!</v>
      </c>
      <c r="M35" s="105" t="str">
        <f ca="1">+IF(AND('Mapa de Riesgos'!$H$61="Baja",'Mapa de Riesgos'!$L$61="Leve"),CONCATENATE("R",'Mapa de Riesgos'!$A$61),"")</f>
        <v/>
      </c>
      <c r="N35" s="105" t="str">
        <f>+IF(AND('Mapa de Riesgos'!$H$82="Baja",'Mapa de Riesgos'!$L$82="Leve"),CONCATENATE("R",'Mapa de Riesgos'!$A$82),"")</f>
        <v/>
      </c>
      <c r="O35" s="117" t="str">
        <f ca="1">+IF(AND('Mapa de Riesgos'!$H$21="Baja",'Mapa de Riesgos'!$L$21="Menor"),CONCATENATE("R",'Mapa de Riesgos'!$A$21),"")</f>
        <v/>
      </c>
      <c r="P35" s="104" t="str">
        <f ca="1">+IF(AND('Mapa de Riesgos'!$H$34="Baja",'Mapa de Riesgos'!$L$34="Menor"),CONCATENATE("R",'Mapa de Riesgos'!$A$34),"")</f>
        <v/>
      </c>
      <c r="Q35" s="104" t="e">
        <f>+IF(AND('Mapa de Riesgos'!#REF!="Baja",'Mapa de Riesgos'!#REF!="Menor"),CONCATENATE("R",'Mapa de Riesgos'!#REF!),"")</f>
        <v>#REF!</v>
      </c>
      <c r="R35" s="104" t="str">
        <f ca="1">+IF(AND('Mapa de Riesgos'!$H$61="Baja",'Mapa de Riesgos'!$L$61="Menor"),CONCATENATE("R",'Mapa de Riesgos'!$A$61),"")</f>
        <v/>
      </c>
      <c r="S35" s="104" t="str">
        <f>+IF(AND('Mapa de Riesgos'!$H$82="Baja",'Mapa de Riesgos'!$L$82="Menor"),CONCATENATE("R",'Mapa de Riesgos'!$A$82),"")</f>
        <v/>
      </c>
      <c r="T35" s="117" t="str">
        <f ca="1">+IF(AND('Mapa de Riesgos'!$H$21="Baja",'Mapa de Riesgos'!$L$21="Moderado"),CONCATENATE("R",'Mapa de Riesgos'!$A$21),"")</f>
        <v/>
      </c>
      <c r="U35" s="104" t="str">
        <f ca="1">+IF(AND('Mapa de Riesgos'!$H$34="Baja",'Mapa de Riesgos'!$L$34="Moderado"),CONCATENATE("R",'Mapa de Riesgos'!$A$34),"")</f>
        <v>R14</v>
      </c>
      <c r="V35" s="104" t="e">
        <f>+IF(AND('Mapa de Riesgos'!#REF!="Baja",'Mapa de Riesgos'!#REF!="Moderado"),CONCATENATE("R",'Mapa de Riesgos'!#REF!),"")</f>
        <v>#REF!</v>
      </c>
      <c r="W35" s="104" t="str">
        <f ca="1">+IF(AND('Mapa de Riesgos'!$H$61="Baja",'Mapa de Riesgos'!$L$61="Moderado"),CONCATENATE("R",'Mapa de Riesgos'!$A$61),"")</f>
        <v/>
      </c>
      <c r="X35" s="104" t="str">
        <f>+IF(AND('Mapa de Riesgos'!$H$82="Baja",'Mapa de Riesgos'!$L$82="Moderado"),CONCATENATE("R",'Mapa de Riesgos'!$A$82),"")</f>
        <v/>
      </c>
      <c r="Y35" s="109" t="str">
        <f ca="1">+IF(AND('Mapa de Riesgos'!$H$21="Baja",'Mapa de Riesgos'!$L$21="Mayor"),CONCATENATE("R",'Mapa de Riesgos'!$A$21),"")</f>
        <v/>
      </c>
      <c r="Z35" s="102" t="str">
        <f ca="1">+IF(AND('Mapa de Riesgos'!$H$34="Baja",'Mapa de Riesgos'!$L$34="Mayor"),CONCATENATE("R",'Mapa de Riesgos'!$A$34),"")</f>
        <v/>
      </c>
      <c r="AA35" s="102" t="e">
        <f>+IF(AND('Mapa de Riesgos'!#REF!="Baja",'Mapa de Riesgos'!#REF!="Mayor"),CONCATENATE("R",'Mapa de Riesgos'!#REF!),"")</f>
        <v>#REF!</v>
      </c>
      <c r="AB35" s="102" t="str">
        <f ca="1">+IF(AND('Mapa de Riesgos'!$H$61="Baja",'Mapa de Riesgos'!$L$61="Mayor"),CONCATENATE("R",'Mapa de Riesgos'!$A$61),"")</f>
        <v/>
      </c>
      <c r="AC35" s="102" t="str">
        <f>+IF(AND('Mapa de Riesgos'!$H$82="Baja",'Mapa de Riesgos'!$L$82="Mayor"),CONCATENATE("R",'Mapa de Riesgos'!$A$82),"")</f>
        <v/>
      </c>
      <c r="AD35" s="133" t="str">
        <f ca="1">+IF(AND('Mapa de Riesgos'!$H$21="Baja",'Mapa de Riesgos'!$L$21="Catastrófico"),CONCATENATE("R",'Mapa de Riesgos'!$A$21),"")</f>
        <v/>
      </c>
      <c r="AE35" s="103" t="str">
        <f ca="1">+IF(AND('Mapa de Riesgos'!$H$34="Baja",'Mapa de Riesgos'!$L$34="Catastrófico"),CONCATENATE("R",'Mapa de Riesgos'!$A$34),"")</f>
        <v/>
      </c>
      <c r="AF35" s="103" t="e">
        <f>+IF(AND('Mapa de Riesgos'!#REF!="Baja",'Mapa de Riesgos'!#REF!="Catastrófico"),CONCATENATE("R",'Mapa de Riesgos'!#REF!),"")</f>
        <v>#REF!</v>
      </c>
      <c r="AG35" s="103" t="str">
        <f ca="1">+IF(AND('Mapa de Riesgos'!$H$61="Baja",'Mapa de Riesgos'!$L$61="Catastrófico"),CONCATENATE("R",'Mapa de Riesgos'!$A$61),"")</f>
        <v/>
      </c>
      <c r="AH35" s="129" t="str">
        <f>+IF(AND('Mapa de Riesgos'!$H$82="Baja",'Mapa de Riesgos'!$L$82="Catastrófico"),CONCATENATE("R",'Mapa de Riesgos'!$A$82),"")</f>
        <v/>
      </c>
      <c r="AI35" s="100"/>
      <c r="AJ35" s="38"/>
      <c r="AK35" s="332"/>
      <c r="AL35" s="333"/>
      <c r="AM35" s="333"/>
      <c r="AN35" s="333"/>
      <c r="AO35" s="333"/>
      <c r="AP35" s="334"/>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row>
    <row r="36" spans="1:76" ht="18.75" x14ac:dyDescent="0.3">
      <c r="A36" s="38"/>
      <c r="B36" s="294"/>
      <c r="C36" s="294"/>
      <c r="D36" s="295"/>
      <c r="E36" s="298"/>
      <c r="F36" s="299"/>
      <c r="G36" s="299"/>
      <c r="H36" s="299"/>
      <c r="I36" s="299"/>
      <c r="J36" s="124" t="str">
        <f ca="1">+IF(AND('Mapa de Riesgos'!$H$23="Baja",'Mapa de Riesgos'!$L$23="Leve"),CONCATENATE("R",'Mapa de Riesgos'!$A$23),"")</f>
        <v/>
      </c>
      <c r="K36" s="105" t="str">
        <f ca="1">+IF(AND('Mapa de Riesgos'!$H$36="Baja",'Mapa de Riesgos'!$L$36="Leve"),CONCATENATE("R",'Mapa de Riesgos'!$A$36),"")</f>
        <v/>
      </c>
      <c r="L36" s="105" t="str">
        <f ca="1">+IF(AND('Mapa de Riesgos'!$H$48="Baja",'Mapa de Riesgos'!$L$48="Leve"),CONCATENATE("R",'Mapa de Riesgos'!$A$48),"")</f>
        <v/>
      </c>
      <c r="M36" s="105" t="str">
        <f ca="1">+IF(AND('Mapa de Riesgos'!$H$63="Baja",'Mapa de Riesgos'!$L$63="Leve"),CONCATENATE("R",'Mapa de Riesgos'!$A$63),"")</f>
        <v/>
      </c>
      <c r="N36" s="105" t="str">
        <f>+IF(AND('Mapa de Riesgos'!$H$88="Baja",'Mapa de Riesgos'!$L$88="Leve"),CONCATENATE("R",'Mapa de Riesgos'!$A$88),"")</f>
        <v/>
      </c>
      <c r="O36" s="117" t="str">
        <f ca="1">+IF(AND('Mapa de Riesgos'!$H$23="Baja",'Mapa de Riesgos'!$L$23="Menor"),CONCATENATE("R",'Mapa de Riesgos'!$A$23),"")</f>
        <v/>
      </c>
      <c r="P36" s="104" t="str">
        <f ca="1">+IF(AND('Mapa de Riesgos'!$H$36="Baja",'Mapa de Riesgos'!$L$36="Menor"),CONCATENATE("R",'Mapa de Riesgos'!$A$36),"")</f>
        <v/>
      </c>
      <c r="Q36" s="104" t="str">
        <f ca="1">+IF(AND('Mapa de Riesgos'!$H$48="Baja",'Mapa de Riesgos'!$L$48="Menor"),CONCATENATE("R",'Mapa de Riesgos'!$A$48),"")</f>
        <v/>
      </c>
      <c r="R36" s="104" t="str">
        <f ca="1">+IF(AND('Mapa de Riesgos'!$H$63="Baja",'Mapa de Riesgos'!$L$63="Menor"),CONCATENATE("R",'Mapa de Riesgos'!$A$63),"")</f>
        <v/>
      </c>
      <c r="S36" s="104" t="str">
        <f>+IF(AND('Mapa de Riesgos'!$H$88="Baja",'Mapa de Riesgos'!$L$88="Menor"),CONCATENATE("R",'Mapa de Riesgos'!$A$88),"")</f>
        <v/>
      </c>
      <c r="T36" s="117" t="str">
        <f ca="1">+IF(AND('Mapa de Riesgos'!$H$23="Baja",'Mapa de Riesgos'!$L$23="Moderado"),CONCATENATE("R",'Mapa de Riesgos'!$A$23),"")</f>
        <v/>
      </c>
      <c r="U36" s="104" t="str">
        <f ca="1">+IF(AND('Mapa de Riesgos'!$H$36="Baja",'Mapa de Riesgos'!$L$36="Moderado"),CONCATENATE("R",'Mapa de Riesgos'!$A$36),"")</f>
        <v>R15</v>
      </c>
      <c r="V36" s="104" t="str">
        <f ca="1">+IF(AND('Mapa de Riesgos'!$H$48="Baja",'Mapa de Riesgos'!$L$48="Moderado"),CONCATENATE("R",'Mapa de Riesgos'!$A$48),"")</f>
        <v/>
      </c>
      <c r="W36" s="104" t="str">
        <f ca="1">+IF(AND('Mapa de Riesgos'!$H$63="Baja",'Mapa de Riesgos'!$L$63="Moderado"),CONCATENATE("R",'Mapa de Riesgos'!$A$63),"")</f>
        <v>R31</v>
      </c>
      <c r="X36" s="104" t="str">
        <f>+IF(AND('Mapa de Riesgos'!$H$88="Baja",'Mapa de Riesgos'!$L$88="Moderado"),CONCATENATE("R",'Mapa de Riesgos'!$A$88),"")</f>
        <v/>
      </c>
      <c r="Y36" s="109" t="str">
        <f ca="1">+IF(AND('Mapa de Riesgos'!$H$23="Baja",'Mapa de Riesgos'!$L$23="Mayor"),CONCATENATE("R",'Mapa de Riesgos'!$A$23),"")</f>
        <v/>
      </c>
      <c r="Z36" s="102" t="str">
        <f ca="1">+IF(AND('Mapa de Riesgos'!$H$36="Baja",'Mapa de Riesgos'!$L$36="Mayor"),CONCATENATE("R",'Mapa de Riesgos'!$A$36),"")</f>
        <v/>
      </c>
      <c r="AA36" s="102" t="str">
        <f ca="1">+IF(AND('Mapa de Riesgos'!$H$48="Baja",'Mapa de Riesgos'!$L$48="Mayor"),CONCATENATE("R",'Mapa de Riesgos'!$A$48),"")</f>
        <v/>
      </c>
      <c r="AB36" s="102" t="str">
        <f ca="1">+IF(AND('Mapa de Riesgos'!$H$63="Baja",'Mapa de Riesgos'!$L$63="Mayor"),CONCATENATE("R",'Mapa de Riesgos'!$A$63),"")</f>
        <v/>
      </c>
      <c r="AC36" s="102" t="str">
        <f>+IF(AND('Mapa de Riesgos'!$H$88="Baja",'Mapa de Riesgos'!$L$88="Mayor"),CONCATENATE("R",'Mapa de Riesgos'!$A$88),"")</f>
        <v/>
      </c>
      <c r="AD36" s="133" t="str">
        <f ca="1">+IF(AND('Mapa de Riesgos'!$H$23="Baja",'Mapa de Riesgos'!$L$23="Catastrófico"),CONCATENATE("R",'Mapa de Riesgos'!$A$23),"")</f>
        <v/>
      </c>
      <c r="AE36" s="103" t="str">
        <f ca="1">+IF(AND('Mapa de Riesgos'!$H$36="Baja",'Mapa de Riesgos'!$L$36="Catastrófico"),CONCATENATE("R",'Mapa de Riesgos'!$A$36),"")</f>
        <v/>
      </c>
      <c r="AF36" s="103" t="str">
        <f ca="1">+IF(AND('Mapa de Riesgos'!$H$48="Baja",'Mapa de Riesgos'!$L$48="Catastrófico"),CONCATENATE("R",'Mapa de Riesgos'!$A$48),"")</f>
        <v/>
      </c>
      <c r="AG36" s="103" t="str">
        <f ca="1">+IF(AND('Mapa de Riesgos'!$H$63="Baja",'Mapa de Riesgos'!$L$63="Catastrófico"),CONCATENATE("R",'Mapa de Riesgos'!$A$63),"")</f>
        <v/>
      </c>
      <c r="AH36" s="129" t="str">
        <f>+IF(AND('Mapa de Riesgos'!$H$88="Baja",'Mapa de Riesgos'!$L$88="Catastrófico"),CONCATENATE("R",'Mapa de Riesgos'!$A$88),"")</f>
        <v/>
      </c>
      <c r="AI36" s="100"/>
      <c r="AJ36" s="38"/>
      <c r="AK36" s="332"/>
      <c r="AL36" s="333"/>
      <c r="AM36" s="333"/>
      <c r="AN36" s="333"/>
      <c r="AO36" s="333"/>
      <c r="AP36" s="334"/>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row>
    <row r="37" spans="1:76" ht="19.5" thickBot="1" x14ac:dyDescent="0.35">
      <c r="A37" s="38"/>
      <c r="B37" s="294"/>
      <c r="C37" s="294"/>
      <c r="D37" s="295"/>
      <c r="E37" s="300"/>
      <c r="F37" s="301"/>
      <c r="G37" s="301"/>
      <c r="H37" s="301"/>
      <c r="I37" s="301"/>
      <c r="J37" s="124" t="str">
        <f ca="1">+IF(AND('Mapa de Riesgos'!$H$26="Baja",'Mapa de Riesgos'!$L$26="Leve"),CONCATENATE("R",'Mapa de Riesgos'!$A$26),"")</f>
        <v/>
      </c>
      <c r="K37" s="105" t="str">
        <f ca="1">+IF(AND('Mapa de Riesgos'!$H$37="Baja",'Mapa de Riesgos'!$L$37="Leve"),CONCATENATE("R",'Mapa de Riesgos'!$A$37),"")</f>
        <v/>
      </c>
      <c r="L37" s="105" t="str">
        <f ca="1">+IF(AND('Mapa de Riesgos'!$H$51="Baja",'Mapa de Riesgos'!$L$51="Leve"),CONCATENATE("R",'Mapa de Riesgos'!$A$51),"")</f>
        <v/>
      </c>
      <c r="M37" s="105" t="str">
        <f ca="1">+IF(AND('Mapa de Riesgos'!$H$64="Baja",'Mapa de Riesgos'!$L$64="Leve"),CONCATENATE("R",'Mapa de Riesgos'!$A$64),"")</f>
        <v/>
      </c>
      <c r="N37" s="105" t="str">
        <f>+IF(AND('Mapa de Riesgos'!$H$94="Baja",'Mapa de Riesgos'!$L$94="Leve"),CONCATENATE("R",'Mapa de Riesgos'!$A$94),"")</f>
        <v/>
      </c>
      <c r="O37" s="117" t="str">
        <f ca="1">+IF(AND('Mapa de Riesgos'!$H$26="Baja",'Mapa de Riesgos'!$L$26="Menor"),CONCATENATE("R",'Mapa de Riesgos'!$A$26),"")</f>
        <v/>
      </c>
      <c r="P37" s="104" t="str">
        <f ca="1">+IF(AND('Mapa de Riesgos'!$H$37="Baja",'Mapa de Riesgos'!$L$37="Menor"),CONCATENATE("R",'Mapa de Riesgos'!$A$37),"")</f>
        <v/>
      </c>
      <c r="Q37" s="104" t="str">
        <f ca="1">+IF(AND('Mapa de Riesgos'!$H$51="Baja",'Mapa de Riesgos'!$L$51="Menor"),CONCATENATE("R",'Mapa de Riesgos'!$A$51),"")</f>
        <v/>
      </c>
      <c r="R37" s="104" t="str">
        <f ca="1">+IF(AND('Mapa de Riesgos'!$H$64="Baja",'Mapa de Riesgos'!$L$64="Menor"),CONCATENATE("R",'Mapa de Riesgos'!$A$64),"")</f>
        <v/>
      </c>
      <c r="S37" s="104" t="str">
        <f>+IF(AND('Mapa de Riesgos'!$H$94="Baja",'Mapa de Riesgos'!$L$94="Menor"),CONCATENATE("R",'Mapa de Riesgos'!$A$94),"")</f>
        <v/>
      </c>
      <c r="T37" s="117" t="str">
        <f ca="1">+IF(AND('Mapa de Riesgos'!$H$26="Baja",'Mapa de Riesgos'!$L$26="Moderado"),CONCATENATE("R",'Mapa de Riesgos'!$A$26),"")</f>
        <v/>
      </c>
      <c r="U37" s="104" t="str">
        <f ca="1">+IF(AND('Mapa de Riesgos'!$H$37="Baja",'Mapa de Riesgos'!$L$37="Moderado"),CONCATENATE("R",'Mapa de Riesgos'!$A$37),"")</f>
        <v/>
      </c>
      <c r="V37" s="104" t="str">
        <f ca="1">+IF(AND('Mapa de Riesgos'!$H$51="Baja",'Mapa de Riesgos'!$L$51="Moderado"),CONCATENATE("R",'Mapa de Riesgos'!$A$51),"")</f>
        <v>R24</v>
      </c>
      <c r="W37" s="104" t="str">
        <f ca="1">+IF(AND('Mapa de Riesgos'!$H$64="Baja",'Mapa de Riesgos'!$L$64="Moderado"),CONCATENATE("R",'Mapa de Riesgos'!$A$64),"")</f>
        <v/>
      </c>
      <c r="X37" s="104" t="str">
        <f>+IF(AND('Mapa de Riesgos'!$H$94="Baja",'Mapa de Riesgos'!$L$94="Moderado"),CONCATENATE("R",'Mapa de Riesgos'!$A$94),"")</f>
        <v/>
      </c>
      <c r="Y37" s="109" t="str">
        <f ca="1">+IF(AND('Mapa de Riesgos'!$H$26="Baja",'Mapa de Riesgos'!$L$26="Mayor"),CONCATENATE("R",'Mapa de Riesgos'!$A$26),"")</f>
        <v/>
      </c>
      <c r="Z37" s="102" t="str">
        <f ca="1">+IF(AND('Mapa de Riesgos'!$H$37="Baja",'Mapa de Riesgos'!$L$37="Mayor"),CONCATENATE("R",'Mapa de Riesgos'!$A$37),"")</f>
        <v/>
      </c>
      <c r="AA37" s="102" t="str">
        <f ca="1">+IF(AND('Mapa de Riesgos'!$H$51="Baja",'Mapa de Riesgos'!$L$51="Mayor"),CONCATENATE("R",'Mapa de Riesgos'!$A$51),"")</f>
        <v/>
      </c>
      <c r="AB37" s="102" t="str">
        <f ca="1">+IF(AND('Mapa de Riesgos'!$H$64="Baja",'Mapa de Riesgos'!$L$64="Mayor"),CONCATENATE("R",'Mapa de Riesgos'!$A$64),"")</f>
        <v/>
      </c>
      <c r="AC37" s="102" t="str">
        <f>+IF(AND('Mapa de Riesgos'!$H$94="Baja",'Mapa de Riesgos'!$L$94="Mayor"),CONCATENATE("R",'Mapa de Riesgos'!$A$94),"")</f>
        <v/>
      </c>
      <c r="AD37" s="133" t="str">
        <f ca="1">+IF(AND('Mapa de Riesgos'!$H$26="Baja",'Mapa de Riesgos'!$L$26="Catastrófico"),CONCATENATE("R",'Mapa de Riesgos'!$A$26),"")</f>
        <v/>
      </c>
      <c r="AE37" s="103" t="str">
        <f ca="1">+IF(AND('Mapa de Riesgos'!$H$37="Baja",'Mapa de Riesgos'!$L$37="Catastrófico"),CONCATENATE("R",'Mapa de Riesgos'!$A$37),"")</f>
        <v/>
      </c>
      <c r="AF37" s="103" t="str">
        <f ca="1">+IF(AND('Mapa de Riesgos'!$H$51="Baja",'Mapa de Riesgos'!$L$51="Catastrófico"),CONCATENATE("R",'Mapa de Riesgos'!$A$51),"")</f>
        <v/>
      </c>
      <c r="AG37" s="103" t="str">
        <f ca="1">+IF(AND('Mapa de Riesgos'!$H$64="Baja",'Mapa de Riesgos'!$L$64="Catastrófico"),CONCATENATE("R",'Mapa de Riesgos'!$A$64),"")</f>
        <v/>
      </c>
      <c r="AH37" s="129" t="str">
        <f>+IF(AND('Mapa de Riesgos'!$H$94="Baja",'Mapa de Riesgos'!$L$94="Catastrófico"),CONCATENATE("R",'Mapa de Riesgos'!$A$94),"")</f>
        <v/>
      </c>
      <c r="AI37" s="100"/>
      <c r="AJ37" s="38"/>
      <c r="AK37" s="335"/>
      <c r="AL37" s="336"/>
      <c r="AM37" s="336"/>
      <c r="AN37" s="336"/>
      <c r="AO37" s="336"/>
      <c r="AP37" s="337"/>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row>
    <row r="38" spans="1:76" ht="18.75" x14ac:dyDescent="0.3">
      <c r="A38" s="38"/>
      <c r="B38" s="294"/>
      <c r="C38" s="294"/>
      <c r="D38" s="295"/>
      <c r="E38" s="296" t="s">
        <v>89</v>
      </c>
      <c r="F38" s="297"/>
      <c r="G38" s="297"/>
      <c r="H38" s="297"/>
      <c r="I38" s="297"/>
      <c r="J38" s="122" t="str">
        <f ca="1">+IF(AND('Mapa de Riesgos'!$H$7="Muy Baja",'Mapa de Riesgos'!$L$7="Leve"),CONCATENATE("R",'Mapa de Riesgos'!$A$7),"")</f>
        <v/>
      </c>
      <c r="K38" s="123" t="str">
        <f ca="1">+IF(AND('Mapa de Riesgos'!$H$27="Muy Baja",'Mapa de Riesgos'!$L$27="Leve"),CONCATENATE("R",'Mapa de Riesgos'!$A$27),"")</f>
        <v/>
      </c>
      <c r="L38" s="123" t="str">
        <f ca="1">+IF(AND('Mapa de Riesgos'!$H$39="Muy Baja",'Mapa de Riesgos'!$L$39="Leve"),CONCATENATE("R",'Mapa de Riesgos'!$A$39),"")</f>
        <v/>
      </c>
      <c r="M38" s="123" t="str">
        <f ca="1">+IF(AND('Mapa de Riesgos'!$H$53="Muy Baja",'Mapa de Riesgos'!$L$53="Leve"),CONCATENATE("R",'Mapa de Riesgos'!$A$53),"")</f>
        <v>R25</v>
      </c>
      <c r="N38" s="123" t="str">
        <f ca="1">+IF(AND('Mapa de Riesgos'!$H$66="Muy Baja",'Mapa de Riesgos'!$L$66="Leve"),CONCATENATE("R",'Mapa de Riesgos'!$A$66),"")</f>
        <v/>
      </c>
      <c r="O38" s="122" t="str">
        <f ca="1">+IF(AND('Mapa de Riesgos'!$H$7="Muy Baja",'Mapa de Riesgos'!$L$7="Menor"),CONCATENATE("R",'Mapa de Riesgos'!$A$7),"")</f>
        <v/>
      </c>
      <c r="P38" s="123" t="str">
        <f ca="1">+IF(AND('Mapa de Riesgos'!$H$27="Muy Baja",'Mapa de Riesgos'!$L$27="Menor"),CONCATENATE("R",'Mapa de Riesgos'!$A$27),"")</f>
        <v/>
      </c>
      <c r="Q38" s="123" t="str">
        <f ca="1">+IF(AND('Mapa de Riesgos'!$H$39="Muy Baja",'Mapa de Riesgos'!$L$39="Menor"),CONCATENATE("R",'Mapa de Riesgos'!$A$39),"")</f>
        <v/>
      </c>
      <c r="R38" s="123" t="str">
        <f ca="1">+IF(AND('Mapa de Riesgos'!$H$53="Muy Baja",'Mapa de Riesgos'!$L$53="Menor"),CONCATENATE("R",'Mapa de Riesgos'!$A$53),"")</f>
        <v/>
      </c>
      <c r="S38" s="123" t="str">
        <f ca="1">+IF(AND('Mapa de Riesgos'!$H$66="Muy Baja",'Mapa de Riesgos'!$L$66="Menor"),CONCATENATE("R",'Mapa de Riesgos'!$A$66),"")</f>
        <v/>
      </c>
      <c r="T38" s="114" t="str">
        <f ca="1">+IF(AND('Mapa de Riesgos'!$H$7="Muy Baja",'Mapa de Riesgos'!$L$7="Moderado"),CONCATENATE("R",'Mapa de Riesgos'!$A$7),"")</f>
        <v/>
      </c>
      <c r="U38" s="115" t="str">
        <f ca="1">+IF(AND('Mapa de Riesgos'!$H$27="Muy Baja",'Mapa de Riesgos'!$L$27="Moderado"),CONCATENATE("R",'Mapa de Riesgos'!$A$27),"")</f>
        <v/>
      </c>
      <c r="V38" s="115" t="str">
        <f ca="1">+IF(AND('Mapa de Riesgos'!$H$39="Muy Baja",'Mapa de Riesgos'!$L$39="Moderado"),CONCATENATE("R",'Mapa de Riesgos'!$A$39),"")</f>
        <v/>
      </c>
      <c r="W38" s="115" t="str">
        <f ca="1">+IF(AND('Mapa de Riesgos'!$H$53="Muy Baja",'Mapa de Riesgos'!$L$53="Moderado"),CONCATENATE("R",'Mapa de Riesgos'!$A$53),"")</f>
        <v/>
      </c>
      <c r="X38" s="115" t="str">
        <f ca="1">+IF(AND('Mapa de Riesgos'!$H$66="Muy Baja",'Mapa de Riesgos'!$L$66="Moderado"),CONCATENATE("R",'Mapa de Riesgos'!$A$66),"")</f>
        <v/>
      </c>
      <c r="Y38" s="106" t="str">
        <f ca="1">+IF(AND('Mapa de Riesgos'!$H$7="Muy Baja",'Mapa de Riesgos'!$L$7="Mayor"),CONCATENATE("R",'Mapa de Riesgos'!$A$7),"")</f>
        <v/>
      </c>
      <c r="Z38" s="107" t="str">
        <f ca="1">+IF(AND('Mapa de Riesgos'!$H$27="Muy Baja",'Mapa de Riesgos'!$L$27="Mayor"),CONCATENATE("R",'Mapa de Riesgos'!$A$27),"")</f>
        <v/>
      </c>
      <c r="AA38" s="107" t="str">
        <f ca="1">+IF(AND('Mapa de Riesgos'!$H$39="Muy Baja",'Mapa de Riesgos'!$L$39="Mayor"),CONCATENATE("R",'Mapa de Riesgos'!$A$39),"")</f>
        <v/>
      </c>
      <c r="AB38" s="107" t="str">
        <f ca="1">+IF(AND('Mapa de Riesgos'!$H$53="Muy Baja",'Mapa de Riesgos'!$L$53="Mayor"),CONCATENATE("R",'Mapa de Riesgos'!$A$53),"")</f>
        <v/>
      </c>
      <c r="AC38" s="107" t="str">
        <f ca="1">+IF(AND('Mapa de Riesgos'!$H$66="Muy Baja",'Mapa de Riesgos'!$L$66="Mayor"),CONCATENATE("R",'Mapa de Riesgos'!$A$66),"")</f>
        <v/>
      </c>
      <c r="AD38" s="132" t="str">
        <f ca="1">+IF(AND('Mapa de Riesgos'!$H$7="Muy Baja",'Mapa de Riesgos'!$L$7="Catastrófico"),CONCATENATE("R",'Mapa de Riesgos'!$A$7),"")</f>
        <v/>
      </c>
      <c r="AE38" s="127" t="str">
        <f ca="1">+IF(AND('Mapa de Riesgos'!$H$27="Muy Baja",'Mapa de Riesgos'!$L$27="Catastrófico"),CONCATENATE("R",'Mapa de Riesgos'!$A$27),"")</f>
        <v/>
      </c>
      <c r="AF38" s="127" t="str">
        <f ca="1">+IF(AND('Mapa de Riesgos'!$H$39="Muy Baja",'Mapa de Riesgos'!$L$39="Catastrófico"),CONCATENATE("R",'Mapa de Riesgos'!$A$39),"")</f>
        <v/>
      </c>
      <c r="AG38" s="127" t="str">
        <f ca="1">+IF(AND('Mapa de Riesgos'!$H$53="Muy Baja",'Mapa de Riesgos'!$L$53="Catastrófico"),CONCATENATE("R",'Mapa de Riesgos'!$A$53),"")</f>
        <v/>
      </c>
      <c r="AH38" s="128" t="str">
        <f ca="1">+IF(AND('Mapa de Riesgos'!$H$66="Muy Baja",'Mapa de Riesgos'!$L$66="Catastrófico"),CONCATENATE("R",'Mapa de Riesgos'!$A$66),"")</f>
        <v/>
      </c>
      <c r="AI38" s="100"/>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row>
    <row r="39" spans="1:76" ht="18.75" x14ac:dyDescent="0.3">
      <c r="A39" s="38"/>
      <c r="B39" s="294"/>
      <c r="C39" s="294"/>
      <c r="D39" s="295"/>
      <c r="E39" s="298"/>
      <c r="F39" s="299"/>
      <c r="G39" s="299"/>
      <c r="H39" s="299"/>
      <c r="I39" s="299"/>
      <c r="J39" s="124" t="str">
        <f ca="1">+IF(AND('Mapa de Riesgos'!$H$9="Muy Baja",'Mapa de Riesgos'!$L$9="Leve"),CONCATENATE("R",'Mapa de Riesgos'!$A$9),"")</f>
        <v/>
      </c>
      <c r="K39" s="105" t="str">
        <f ca="1">+IF(AND('Mapa de Riesgos'!$H$28="Muy Baja",'Mapa de Riesgos'!$L$28="Leve"),CONCATENATE("R",'Mapa de Riesgos'!$A$28),"")</f>
        <v/>
      </c>
      <c r="L39" s="105" t="str">
        <f ca="1">+IF(AND('Mapa de Riesgos'!$H$40="Muy Baja",'Mapa de Riesgos'!$L$40="Leve"),CONCATENATE("R",'Mapa de Riesgos'!$A$40),"")</f>
        <v/>
      </c>
      <c r="M39" s="105" t="str">
        <f ca="1">+IF(AND('Mapa de Riesgos'!$H$56="Muy Baja",'Mapa de Riesgos'!$L$56="Leve"),CONCATENATE("R",'Mapa de Riesgos'!$A$56),"")</f>
        <v/>
      </c>
      <c r="N39" s="105" t="str">
        <f ca="1">+IF(AND('Mapa de Riesgos'!$H$68="Muy Baja",'Mapa de Riesgos'!$L$68="Leve"),CONCATENATE("R",'Mapa de Riesgos'!$A$68),"")</f>
        <v/>
      </c>
      <c r="O39" s="124" t="str">
        <f ca="1">+IF(AND('Mapa de Riesgos'!$H$9="Muy Baja",'Mapa de Riesgos'!$L$9="Menor"),CONCATENATE("R",'Mapa de Riesgos'!$A$9),"")</f>
        <v/>
      </c>
      <c r="P39" s="105" t="str">
        <f ca="1">+IF(AND('Mapa de Riesgos'!$H$28="Muy Baja",'Mapa de Riesgos'!$L$28="Menor"),CONCATENATE("R",'Mapa de Riesgos'!$A$28),"")</f>
        <v/>
      </c>
      <c r="Q39" s="105" t="str">
        <f ca="1">+IF(AND('Mapa de Riesgos'!$H$40="Muy Baja",'Mapa de Riesgos'!$L$40="Menor"),CONCATENATE("R",'Mapa de Riesgos'!$A$40),"")</f>
        <v/>
      </c>
      <c r="R39" s="105" t="str">
        <f ca="1">+IF(AND('Mapa de Riesgos'!$H$56="Muy Baja",'Mapa de Riesgos'!$L$56="Menor"),CONCATENATE("R",'Mapa de Riesgos'!$A$56),"")</f>
        <v/>
      </c>
      <c r="S39" s="105" t="str">
        <f ca="1">+IF(AND('Mapa de Riesgos'!$H$68="Muy Baja",'Mapa de Riesgos'!$L$68="Menor"),CONCATENATE("R",'Mapa de Riesgos'!$A$68),"")</f>
        <v/>
      </c>
      <c r="T39" s="117" t="str">
        <f ca="1">+IF(AND('Mapa de Riesgos'!$H$9="Muy Baja",'Mapa de Riesgos'!$L$9="Moderado"),CONCATENATE("R",'Mapa de Riesgos'!$A$9),"")</f>
        <v/>
      </c>
      <c r="U39" s="104" t="str">
        <f ca="1">+IF(AND('Mapa de Riesgos'!$H$28="Muy Baja",'Mapa de Riesgos'!$L$28="Moderado"),CONCATENATE("R",'Mapa de Riesgos'!$A$28),"")</f>
        <v/>
      </c>
      <c r="V39" s="104" t="str">
        <f ca="1">+IF(AND('Mapa de Riesgos'!$H$40="Muy Baja",'Mapa de Riesgos'!$L$40="Moderado"),CONCATENATE("R",'Mapa de Riesgos'!$A$40),"")</f>
        <v/>
      </c>
      <c r="W39" s="104" t="str">
        <f ca="1">+IF(AND('Mapa de Riesgos'!$H$56="Muy Baja",'Mapa de Riesgos'!$L$56="Moderado"),CONCATENATE("R",'Mapa de Riesgos'!$A$56),"")</f>
        <v/>
      </c>
      <c r="X39" s="104" t="str">
        <f ca="1">+IF(AND('Mapa de Riesgos'!$H$68="Muy Baja",'Mapa de Riesgos'!$L$68="Moderado"),CONCATENATE("R",'Mapa de Riesgos'!$A$68),"")</f>
        <v/>
      </c>
      <c r="Y39" s="109" t="str">
        <f ca="1">+IF(AND('Mapa de Riesgos'!$H$9="Muy Baja",'Mapa de Riesgos'!$L$9="Mayor"),CONCATENATE("R",'Mapa de Riesgos'!$A$9),"")</f>
        <v/>
      </c>
      <c r="Z39" s="102" t="str">
        <f ca="1">+IF(AND('Mapa de Riesgos'!$H$28="Muy Baja",'Mapa de Riesgos'!$L$28="Mayor"),CONCATENATE("R",'Mapa de Riesgos'!$A$28),"")</f>
        <v/>
      </c>
      <c r="AA39" s="102" t="str">
        <f ca="1">+IF(AND('Mapa de Riesgos'!$H$40="Muy Baja",'Mapa de Riesgos'!$L$40="Mayor"),CONCATENATE("R",'Mapa de Riesgos'!$A$40),"")</f>
        <v/>
      </c>
      <c r="AB39" s="102" t="str">
        <f ca="1">+IF(AND('Mapa de Riesgos'!$H$56="Muy Baja",'Mapa de Riesgos'!$L$56="Mayor"),CONCATENATE("R",'Mapa de Riesgos'!$A$56),"")</f>
        <v/>
      </c>
      <c r="AC39" s="102" t="str">
        <f ca="1">+IF(AND('Mapa de Riesgos'!$H$68="Muy Baja",'Mapa de Riesgos'!$L$68="Mayor"),CONCATENATE("R",'Mapa de Riesgos'!$A$68),"")</f>
        <v/>
      </c>
      <c r="AD39" s="133" t="str">
        <f ca="1">+IF(AND('Mapa de Riesgos'!$H$9="Muy Baja",'Mapa de Riesgos'!$L$9="Catastrófico"),CONCATENATE("R",'Mapa de Riesgos'!$A$9),"")</f>
        <v/>
      </c>
      <c r="AE39" s="103" t="str">
        <f ca="1">+IF(AND('Mapa de Riesgos'!$H$28="Muy Baja",'Mapa de Riesgos'!$L$28="Catastrófico"),CONCATENATE("R",'Mapa de Riesgos'!$A$28),"")</f>
        <v/>
      </c>
      <c r="AF39" s="103" t="str">
        <f ca="1">+IF(AND('Mapa de Riesgos'!$H$40="Muy Baja",'Mapa de Riesgos'!$L$40="Catastrófico"),CONCATENATE("R",'Mapa de Riesgos'!$A$40),"")</f>
        <v/>
      </c>
      <c r="AG39" s="103" t="str">
        <f ca="1">+IF(AND('Mapa de Riesgos'!$H$56="Muy Baja",'Mapa de Riesgos'!$L$56="Catastrófico"),CONCATENATE("R",'Mapa de Riesgos'!$A$56),"")</f>
        <v/>
      </c>
      <c r="AH39" s="129" t="str">
        <f ca="1">+IF(AND('Mapa de Riesgos'!$H$68="Muy Baja",'Mapa de Riesgos'!$L$68="Catastrófico"),CONCATENATE("R",'Mapa de Riesgos'!$A$68),"")</f>
        <v/>
      </c>
      <c r="AI39" s="100"/>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row>
    <row r="40" spans="1:76" ht="18.75" x14ac:dyDescent="0.3">
      <c r="A40" s="38"/>
      <c r="B40" s="294"/>
      <c r="C40" s="294"/>
      <c r="D40" s="295"/>
      <c r="E40" s="298"/>
      <c r="F40" s="299"/>
      <c r="G40" s="299"/>
      <c r="H40" s="299"/>
      <c r="I40" s="299"/>
      <c r="J40" s="124" t="str">
        <f ca="1">+IF(AND('Mapa de Riesgos'!$H$15="Muy Baja",'Mapa de Riesgos'!$L$15="Leve"),CONCATENATE("R",'Mapa de Riesgos'!$A$15),"")</f>
        <v/>
      </c>
      <c r="K40" s="105" t="str">
        <f ca="1">+IF(AND('Mapa de Riesgos'!$H$29="Muy Baja",'Mapa de Riesgos'!$L$29="Leve"),CONCATENATE("R",'Mapa de Riesgos'!$A$29),"")</f>
        <v/>
      </c>
      <c r="L40" s="105" t="str">
        <f ca="1">+IF(AND('Mapa de Riesgos'!$H$42="Muy Baja",'Mapa de Riesgos'!$L$42="Leve"),CONCATENATE("R",'Mapa de Riesgos'!$A$42),"")</f>
        <v/>
      </c>
      <c r="M40" s="105" t="str">
        <f ca="1">+IF(AND('Mapa de Riesgos'!$H$57="Muy Baja",'Mapa de Riesgos'!$L$57="Leve"),CONCATENATE("R",'Mapa de Riesgos'!$A$57),"")</f>
        <v/>
      </c>
      <c r="N40" s="105" t="str">
        <f ca="1">+IF(AND('Mapa de Riesgos'!$H$70="Muy Baja",'Mapa de Riesgos'!$L$70="Leve"),CONCATENATE("R",'Mapa de Riesgos'!$A$70),"")</f>
        <v/>
      </c>
      <c r="O40" s="124" t="str">
        <f ca="1">+IF(AND('Mapa de Riesgos'!$H$15="Muy Baja",'Mapa de Riesgos'!$L$15="Menor"),CONCATENATE("R",'Mapa de Riesgos'!$A$15),"")</f>
        <v/>
      </c>
      <c r="P40" s="105" t="str">
        <f ca="1">+IF(AND('Mapa de Riesgos'!$H$29="Muy Baja",'Mapa de Riesgos'!$L$29="Menor"),CONCATENATE("R",'Mapa de Riesgos'!$A$29),"")</f>
        <v/>
      </c>
      <c r="Q40" s="105" t="str">
        <f ca="1">+IF(AND('Mapa de Riesgos'!$H$42="Muy Baja",'Mapa de Riesgos'!$L$42="Menor"),CONCATENATE("R",'Mapa de Riesgos'!$A$42),"")</f>
        <v/>
      </c>
      <c r="R40" s="105" t="str">
        <f ca="1">+IF(AND('Mapa de Riesgos'!$H$57="Muy Baja",'Mapa de Riesgos'!$L$57="Menor"),CONCATENATE("R",'Mapa de Riesgos'!$A$57),"")</f>
        <v/>
      </c>
      <c r="S40" s="105" t="str">
        <f ca="1">+IF(AND('Mapa de Riesgos'!$H$70="Muy Baja",'Mapa de Riesgos'!$L$70="Menor"),CONCATENATE("R",'Mapa de Riesgos'!$A$70),"")</f>
        <v/>
      </c>
      <c r="T40" s="117" t="str">
        <f ca="1">+IF(AND('Mapa de Riesgos'!$H$15="Muy Baja",'Mapa de Riesgos'!$L$15="Moderado"),CONCATENATE("R",'Mapa de Riesgos'!$A$15),"")</f>
        <v/>
      </c>
      <c r="U40" s="104" t="str">
        <f ca="1">+IF(AND('Mapa de Riesgos'!$H$29="Muy Baja",'Mapa de Riesgos'!$L$29="Moderado"),CONCATENATE("R",'Mapa de Riesgos'!$A$29),"")</f>
        <v/>
      </c>
      <c r="V40" s="104" t="str">
        <f ca="1">+IF(AND('Mapa de Riesgos'!$H$42="Muy Baja",'Mapa de Riesgos'!$L$42="Moderado"),CONCATENATE("R",'Mapa de Riesgos'!$A$42),"")</f>
        <v/>
      </c>
      <c r="W40" s="104" t="str">
        <f ca="1">+IF(AND('Mapa de Riesgos'!$H$57="Muy Baja",'Mapa de Riesgos'!$L$57="Moderado"),CONCATENATE("R",'Mapa de Riesgos'!$A$57),"")</f>
        <v/>
      </c>
      <c r="X40" s="104" t="str">
        <f ca="1">+IF(AND('Mapa de Riesgos'!$H$70="Muy Baja",'Mapa de Riesgos'!$L$70="Moderado"),CONCATENATE("R",'Mapa de Riesgos'!$A$70),"")</f>
        <v/>
      </c>
      <c r="Y40" s="109" t="str">
        <f ca="1">+IF(AND('Mapa de Riesgos'!$H$15="Muy Baja",'Mapa de Riesgos'!$L$15="Mayor"),CONCATENATE("R",'Mapa de Riesgos'!$A$15),"")</f>
        <v/>
      </c>
      <c r="Z40" s="102" t="str">
        <f ca="1">+IF(AND('Mapa de Riesgos'!$H$29="Muy Baja",'Mapa de Riesgos'!$L$29="Mayor"),CONCATENATE("R",'Mapa de Riesgos'!$A$29),"")</f>
        <v/>
      </c>
      <c r="AA40" s="102" t="str">
        <f ca="1">+IF(AND('Mapa de Riesgos'!$H$42="Muy Baja",'Mapa de Riesgos'!$L$42="Mayor"),CONCATENATE("R",'Mapa de Riesgos'!$A$42),"")</f>
        <v/>
      </c>
      <c r="AB40" s="102" t="str">
        <f ca="1">+IF(AND('Mapa de Riesgos'!$H$57="Muy Baja",'Mapa de Riesgos'!$L$57="Mayor"),CONCATENATE("R",'Mapa de Riesgos'!$A$57),"")</f>
        <v/>
      </c>
      <c r="AC40" s="102" t="str">
        <f ca="1">+IF(AND('Mapa de Riesgos'!$H$70="Muy Baja",'Mapa de Riesgos'!$L$70="Mayor"),CONCATENATE("R",'Mapa de Riesgos'!$A$70),"")</f>
        <v/>
      </c>
      <c r="AD40" s="133" t="str">
        <f ca="1">+IF(AND('Mapa de Riesgos'!$H$15="Muy Baja",'Mapa de Riesgos'!$L$15="Catastrófico"),CONCATENATE("R",'Mapa de Riesgos'!$A$15),"")</f>
        <v/>
      </c>
      <c r="AE40" s="103" t="str">
        <f ca="1">+IF(AND('Mapa de Riesgos'!$H$29="Muy Baja",'Mapa de Riesgos'!$L$29="Catastrófico"),CONCATENATE("R",'Mapa de Riesgos'!$A$29),"")</f>
        <v/>
      </c>
      <c r="AF40" s="103" t="str">
        <f ca="1">+IF(AND('Mapa de Riesgos'!$H$42="Muy Baja",'Mapa de Riesgos'!$L$42="Catastrófico"),CONCATENATE("R",'Mapa de Riesgos'!$A$42),"")</f>
        <v/>
      </c>
      <c r="AG40" s="103" t="str">
        <f ca="1">+IF(AND('Mapa de Riesgos'!$H$57="Muy Baja",'Mapa de Riesgos'!$L$57="Catastrófico"),CONCATENATE("R",'Mapa de Riesgos'!$A$57),"")</f>
        <v/>
      </c>
      <c r="AH40" s="129" t="str">
        <f ca="1">+IF(AND('Mapa de Riesgos'!$H$70="Muy Baja",'Mapa de Riesgos'!$L$70="Catastrófico"),CONCATENATE("R",'Mapa de Riesgos'!$A$70),"")</f>
        <v/>
      </c>
      <c r="AI40" s="100"/>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row>
    <row r="41" spans="1:76" ht="18.75" x14ac:dyDescent="0.3">
      <c r="A41" s="38"/>
      <c r="B41" s="294"/>
      <c r="C41" s="294"/>
      <c r="D41" s="295"/>
      <c r="E41" s="298"/>
      <c r="F41" s="299"/>
      <c r="G41" s="299"/>
      <c r="H41" s="299"/>
      <c r="I41" s="299"/>
      <c r="J41" s="124" t="str">
        <f ca="1">+IF(AND('Mapa de Riesgos'!$H$17="Muy Baja",'Mapa de Riesgos'!$L$17="Leve"),CONCATENATE("R",'Mapa de Riesgos'!$A$17),"")</f>
        <v/>
      </c>
      <c r="K41" s="105" t="str">
        <f ca="1">+IF(AND('Mapa de Riesgos'!$H$30="Muy Baja",'Mapa de Riesgos'!$L$30="Leve"),CONCATENATE("R",'Mapa de Riesgos'!$A$30),"")</f>
        <v/>
      </c>
      <c r="L41" s="105" t="str">
        <f ca="1">+IF(AND('Mapa de Riesgos'!$H$44="Muy Baja",'Mapa de Riesgos'!$L$44="Leve"),CONCATENATE("R",'Mapa de Riesgos'!$A$44),"")</f>
        <v/>
      </c>
      <c r="M41" s="105" t="str">
        <f ca="1">+IF(AND('Mapa de Riesgos'!$H$58="Muy Baja",'Mapa de Riesgos'!$L$58="Leve"),CONCATENATE("R",'Mapa de Riesgos'!$A$58),"")</f>
        <v/>
      </c>
      <c r="N41" s="105" t="str">
        <f ca="1">+IF(AND('Mapa de Riesgos'!$H$72="Muy Baja",'Mapa de Riesgos'!$L$72="Leve"),CONCATENATE("R",'Mapa de Riesgos'!$A$72),"")</f>
        <v/>
      </c>
      <c r="O41" s="124" t="str">
        <f ca="1">+IF(AND('Mapa de Riesgos'!$H$17="Muy Baja",'Mapa de Riesgos'!$L$17="Menor"),CONCATENATE("R",'Mapa de Riesgos'!$A$17),"")</f>
        <v/>
      </c>
      <c r="P41" s="105" t="str">
        <f ca="1">+IF(AND('Mapa de Riesgos'!$H$30="Muy Baja",'Mapa de Riesgos'!$L$30="Menor"),CONCATENATE("R",'Mapa de Riesgos'!$A$30),"")</f>
        <v/>
      </c>
      <c r="Q41" s="105" t="str">
        <f ca="1">+IF(AND('Mapa de Riesgos'!$H$44="Muy Baja",'Mapa de Riesgos'!$L$44="Menor"),CONCATENATE("R",'Mapa de Riesgos'!$A$44),"")</f>
        <v/>
      </c>
      <c r="R41" s="105" t="str">
        <f ca="1">+IF(AND('Mapa de Riesgos'!$H$58="Muy Baja",'Mapa de Riesgos'!$L$58="Menor"),CONCATENATE("R",'Mapa de Riesgos'!$A$58),"")</f>
        <v/>
      </c>
      <c r="S41" s="105" t="str">
        <f ca="1">+IF(AND('Mapa de Riesgos'!$H$72="Muy Baja",'Mapa de Riesgos'!$L$72="Menor"),CONCATENATE("R",'Mapa de Riesgos'!$A$72),"")</f>
        <v/>
      </c>
      <c r="T41" s="117" t="str">
        <f ca="1">+IF(AND('Mapa de Riesgos'!$H$17="Muy Baja",'Mapa de Riesgos'!$L$17="Moderado"),CONCATENATE("R",'Mapa de Riesgos'!$A$17),"")</f>
        <v/>
      </c>
      <c r="U41" s="104" t="str">
        <f ca="1">+IF(AND('Mapa de Riesgos'!$H$30="Muy Baja",'Mapa de Riesgos'!$L$30="Moderado"),CONCATENATE("R",'Mapa de Riesgos'!$A$30),"")</f>
        <v/>
      </c>
      <c r="V41" s="104" t="str">
        <f ca="1">+IF(AND('Mapa de Riesgos'!$H$44="Muy Baja",'Mapa de Riesgos'!$L$44="Moderado"),CONCATENATE("R",'Mapa de Riesgos'!$A$44),"")</f>
        <v/>
      </c>
      <c r="W41" s="104" t="str">
        <f ca="1">+IF(AND('Mapa de Riesgos'!$H$58="Muy Baja",'Mapa de Riesgos'!$L$58="Moderado"),CONCATENATE("R",'Mapa de Riesgos'!$A$58),"")</f>
        <v/>
      </c>
      <c r="X41" s="104" t="str">
        <f ca="1">+IF(AND('Mapa de Riesgos'!$H$72="Muy Baja",'Mapa de Riesgos'!$L$72="Moderado"),CONCATENATE("R",'Mapa de Riesgos'!$A$72),"")</f>
        <v/>
      </c>
      <c r="Y41" s="109" t="str">
        <f ca="1">+IF(AND('Mapa de Riesgos'!$H$17="Muy Baja",'Mapa de Riesgos'!$L$17="Mayor"),CONCATENATE("R",'Mapa de Riesgos'!$A$17),"")</f>
        <v/>
      </c>
      <c r="Z41" s="102" t="str">
        <f ca="1">+IF(AND('Mapa de Riesgos'!$H$30="Muy Baja",'Mapa de Riesgos'!$L$30="Mayor"),CONCATENATE("R",'Mapa de Riesgos'!$A$30),"")</f>
        <v/>
      </c>
      <c r="AA41" s="102" t="str">
        <f ca="1">+IF(AND('Mapa de Riesgos'!$H$44="Muy Baja",'Mapa de Riesgos'!$L$44="Mayor"),CONCATENATE("R",'Mapa de Riesgos'!$A$44),"")</f>
        <v/>
      </c>
      <c r="AB41" s="102" t="str">
        <f ca="1">+IF(AND('Mapa de Riesgos'!$H$58="Muy Baja",'Mapa de Riesgos'!$L$58="Mayor"),CONCATENATE("R",'Mapa de Riesgos'!$A$58),"")</f>
        <v/>
      </c>
      <c r="AC41" s="102" t="str">
        <f ca="1">+IF(AND('Mapa de Riesgos'!$H$72="Muy Baja",'Mapa de Riesgos'!$L$72="Mayor"),CONCATENATE("R",'Mapa de Riesgos'!$A$72),"")</f>
        <v/>
      </c>
      <c r="AD41" s="133" t="str">
        <f ca="1">+IF(AND('Mapa de Riesgos'!$H$17="Muy Baja",'Mapa de Riesgos'!$L$17="Catastrófico"),CONCATENATE("R",'Mapa de Riesgos'!$A$17),"")</f>
        <v/>
      </c>
      <c r="AE41" s="103" t="str">
        <f ca="1">+IF(AND('Mapa de Riesgos'!$H$30="Muy Baja",'Mapa de Riesgos'!$L$30="Catastrófico"),CONCATENATE("R",'Mapa de Riesgos'!$A$30),"")</f>
        <v/>
      </c>
      <c r="AF41" s="103" t="str">
        <f ca="1">+IF(AND('Mapa de Riesgos'!$H$44="Muy Baja",'Mapa de Riesgos'!$L$44="Catastrófico"),CONCATENATE("R",'Mapa de Riesgos'!$A$44),"")</f>
        <v/>
      </c>
      <c r="AG41" s="103" t="str">
        <f ca="1">+IF(AND('Mapa de Riesgos'!$H$58="Muy Baja",'Mapa de Riesgos'!$L$58="Catastrófico"),CONCATENATE("R",'Mapa de Riesgos'!$A$58),"")</f>
        <v/>
      </c>
      <c r="AH41" s="129" t="str">
        <f ca="1">+IF(AND('Mapa de Riesgos'!$H$72="Muy Baja",'Mapa de Riesgos'!$L$72="Catastrófico"),CONCATENATE("R",'Mapa de Riesgos'!$A$72),"")</f>
        <v/>
      </c>
      <c r="AI41" s="100"/>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row>
    <row r="42" spans="1:76" ht="18.75" x14ac:dyDescent="0.3">
      <c r="A42" s="38"/>
      <c r="B42" s="294"/>
      <c r="C42" s="294"/>
      <c r="D42" s="295"/>
      <c r="E42" s="298"/>
      <c r="F42" s="299"/>
      <c r="G42" s="299"/>
      <c r="H42" s="299"/>
      <c r="I42" s="299"/>
      <c r="J42" s="124" t="str">
        <f ca="1">+IF(AND('Mapa de Riesgos'!$H$19="Muy Baja",'Mapa de Riesgos'!$L$19="Leve"),CONCATENATE("R",'Mapa de Riesgos'!$A$19),"")</f>
        <v/>
      </c>
      <c r="K42" s="105" t="str">
        <f ca="1">+IF(AND('Mapa de Riesgos'!$H$32="Muy Baja",'Mapa de Riesgos'!$L$32="Leve"),CONCATENATE("R",'Mapa de Riesgos'!$A$32),"")</f>
        <v/>
      </c>
      <c r="L42" s="105" t="str">
        <f ca="1">+IF(AND('Mapa de Riesgos'!$H$45="Muy Baja",'Mapa de Riesgos'!$L$45="Leve"),CONCATENATE("R",'Mapa de Riesgos'!$A$45),"")</f>
        <v/>
      </c>
      <c r="M42" s="105" t="str">
        <f ca="1">+IF(AND('Mapa de Riesgos'!$H$60="Muy Baja",'Mapa de Riesgos'!$L$60="Leve"),CONCATENATE("R",'Mapa de Riesgos'!$A$60),"")</f>
        <v/>
      </c>
      <c r="N42" s="105" t="str">
        <f>+IF(AND('Mapa de Riesgos'!$H$76="Muy Baja",'Mapa de Riesgos'!$L$76="Leve"),CONCATENATE("R",'Mapa de Riesgos'!$A$76),"")</f>
        <v/>
      </c>
      <c r="O42" s="124" t="str">
        <f ca="1">+IF(AND('Mapa de Riesgos'!$H$19="Muy Baja",'Mapa de Riesgos'!$L$19="Menor"),CONCATENATE("R",'Mapa de Riesgos'!$A$19),"")</f>
        <v/>
      </c>
      <c r="P42" s="105" t="str">
        <f ca="1">+IF(AND('Mapa de Riesgos'!$H$32="Muy Baja",'Mapa de Riesgos'!$L$32="Menor"),CONCATENATE("R",'Mapa de Riesgos'!$A$32),"")</f>
        <v/>
      </c>
      <c r="Q42" s="105" t="str">
        <f ca="1">+IF(AND('Mapa de Riesgos'!$H$45="Muy Baja",'Mapa de Riesgos'!$L$45="Menor"),CONCATENATE("R",'Mapa de Riesgos'!$A$45),"")</f>
        <v/>
      </c>
      <c r="R42" s="105" t="str">
        <f ca="1">+IF(AND('Mapa de Riesgos'!$H$60="Muy Baja",'Mapa de Riesgos'!$L$60="Menor"),CONCATENATE("R",'Mapa de Riesgos'!$A$60),"")</f>
        <v/>
      </c>
      <c r="S42" s="105" t="str">
        <f>+IF(AND('Mapa de Riesgos'!$H$76="Muy Baja",'Mapa de Riesgos'!$L$76="Menor"),CONCATENATE("R",'Mapa de Riesgos'!$A$76),"")</f>
        <v/>
      </c>
      <c r="T42" s="117" t="str">
        <f ca="1">+IF(AND('Mapa de Riesgos'!$H$19="Muy Baja",'Mapa de Riesgos'!$L$19="Moderado"),CONCATENATE("R",'Mapa de Riesgos'!$A$19),"")</f>
        <v/>
      </c>
      <c r="U42" s="104" t="str">
        <f ca="1">+IF(AND('Mapa de Riesgos'!$H$32="Muy Baja",'Mapa de Riesgos'!$L$32="Moderado"),CONCATENATE("R",'Mapa de Riesgos'!$A$32),"")</f>
        <v/>
      </c>
      <c r="V42" s="104" t="str">
        <f ca="1">+IF(AND('Mapa de Riesgos'!$H$45="Muy Baja",'Mapa de Riesgos'!$L$45="Moderado"),CONCATENATE("R",'Mapa de Riesgos'!$A$45),"")</f>
        <v/>
      </c>
      <c r="W42" s="104" t="str">
        <f ca="1">+IF(AND('Mapa de Riesgos'!$H$60="Muy Baja",'Mapa de Riesgos'!$L$60="Moderado"),CONCATENATE("R",'Mapa de Riesgos'!$A$60),"")</f>
        <v/>
      </c>
      <c r="X42" s="104" t="str">
        <f>+IF(AND('Mapa de Riesgos'!$H$76="Muy Baja",'Mapa de Riesgos'!$L$76="Moderado"),CONCATENATE("R",'Mapa de Riesgos'!$A$76),"")</f>
        <v/>
      </c>
      <c r="Y42" s="109" t="str">
        <f ca="1">+IF(AND('Mapa de Riesgos'!$H$19="Muy Baja",'Mapa de Riesgos'!$L$19="Mayor"),CONCATENATE("R",'Mapa de Riesgos'!$A$19),"")</f>
        <v/>
      </c>
      <c r="Z42" s="102" t="str">
        <f ca="1">+IF(AND('Mapa de Riesgos'!$H$32="Muy Baja",'Mapa de Riesgos'!$L$32="Mayor"),CONCATENATE("R",'Mapa de Riesgos'!$A$32),"")</f>
        <v/>
      </c>
      <c r="AA42" s="102" t="str">
        <f ca="1">+IF(AND('Mapa de Riesgos'!$H$45="Muy Baja",'Mapa de Riesgos'!$L$45="Mayor"),CONCATENATE("R",'Mapa de Riesgos'!$A$45),"")</f>
        <v/>
      </c>
      <c r="AB42" s="102" t="str">
        <f ca="1">+IF(AND('Mapa de Riesgos'!$H$60="Muy Baja",'Mapa de Riesgos'!$L$60="Mayor"),CONCATENATE("R",'Mapa de Riesgos'!$A$60),"")</f>
        <v/>
      </c>
      <c r="AC42" s="102" t="str">
        <f>+IF(AND('Mapa de Riesgos'!$H$76="Muy Baja",'Mapa de Riesgos'!$L$76="Mayor"),CONCATENATE("R",'Mapa de Riesgos'!$A$76),"")</f>
        <v/>
      </c>
      <c r="AD42" s="133" t="str">
        <f ca="1">+IF(AND('Mapa de Riesgos'!$H$19="Muy Baja",'Mapa de Riesgos'!$L$19="Catastrófico"),CONCATENATE("R",'Mapa de Riesgos'!$A$19),"")</f>
        <v/>
      </c>
      <c r="AE42" s="103" t="str">
        <f ca="1">+IF(AND('Mapa de Riesgos'!$H$32="Muy Baja",'Mapa de Riesgos'!$L$32="Catastrófico"),CONCATENATE("R",'Mapa de Riesgos'!$A$32),"")</f>
        <v/>
      </c>
      <c r="AF42" s="103" t="str">
        <f ca="1">+IF(AND('Mapa de Riesgos'!$H$45="Muy Baja",'Mapa de Riesgos'!$L$45="Catastrófico"),CONCATENATE("R",'Mapa de Riesgos'!$A$45),"")</f>
        <v/>
      </c>
      <c r="AG42" s="103" t="str">
        <f ca="1">+IF(AND('Mapa de Riesgos'!$H$60="Muy Baja",'Mapa de Riesgos'!$L$60="Catastrófico"),CONCATENATE("R",'Mapa de Riesgos'!$A$60),"")</f>
        <v/>
      </c>
      <c r="AH42" s="129" t="str">
        <f>+IF(AND('Mapa de Riesgos'!$H$76="Muy Baja",'Mapa de Riesgos'!$L$76="Catastrófico"),CONCATENATE("R",'Mapa de Riesgos'!$A$76),"")</f>
        <v/>
      </c>
      <c r="AI42" s="100"/>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row>
    <row r="43" spans="1:76" ht="18.75" x14ac:dyDescent="0.3">
      <c r="A43" s="38"/>
      <c r="B43" s="294"/>
      <c r="C43" s="294"/>
      <c r="D43" s="295"/>
      <c r="E43" s="298"/>
      <c r="F43" s="299"/>
      <c r="G43" s="299"/>
      <c r="H43" s="299"/>
      <c r="I43" s="299"/>
      <c r="J43" s="124" t="str">
        <f ca="1">+IF(AND('Mapa de Riesgos'!$H$21="Muy Baja",'Mapa de Riesgos'!$L$21="Leve"),CONCATENATE("R",'Mapa de Riesgos'!$A$21),"")</f>
        <v/>
      </c>
      <c r="K43" s="105" t="str">
        <f ca="1">+IF(AND('Mapa de Riesgos'!$H$34="Muy Baja",'Mapa de Riesgos'!$L$34="Leve"),CONCATENATE("R",'Mapa de Riesgos'!$A$34),"")</f>
        <v/>
      </c>
      <c r="L43" s="105" t="e">
        <f>+IF(AND('Mapa de Riesgos'!#REF!="Muy Baja",'Mapa de Riesgos'!#REF!="Leve"),CONCATENATE("R",'Mapa de Riesgos'!#REF!),"")</f>
        <v>#REF!</v>
      </c>
      <c r="M43" s="105" t="str">
        <f ca="1">+IF(AND('Mapa de Riesgos'!$H$61="Muy Baja",'Mapa de Riesgos'!$L$61="Leve"),CONCATENATE("R",'Mapa de Riesgos'!$A$61),"")</f>
        <v/>
      </c>
      <c r="N43" s="105" t="str">
        <f>+IF(AND('Mapa de Riesgos'!$H$82="Muy Baja",'Mapa de Riesgos'!$L$82="Leve"),CONCATENATE("R",'Mapa de Riesgos'!$A$82),"")</f>
        <v/>
      </c>
      <c r="O43" s="124" t="str">
        <f ca="1">+IF(AND('Mapa de Riesgos'!$H$21="Muy Baja",'Mapa de Riesgos'!$L$21="Menor"),CONCATENATE("R",'Mapa de Riesgos'!$A$21),"")</f>
        <v/>
      </c>
      <c r="P43" s="105" t="str">
        <f ca="1">+IF(AND('Mapa de Riesgos'!$H$34="Muy Baja",'Mapa de Riesgos'!$L$34="Menor"),CONCATENATE("R",'Mapa de Riesgos'!$A$34),"")</f>
        <v/>
      </c>
      <c r="Q43" s="105" t="e">
        <f>+IF(AND('Mapa de Riesgos'!#REF!="Muy Baja",'Mapa de Riesgos'!#REF!="Menor"),CONCATENATE("R",'Mapa de Riesgos'!#REF!),"")</f>
        <v>#REF!</v>
      </c>
      <c r="R43" s="105" t="str">
        <f ca="1">+IF(AND('Mapa de Riesgos'!$H$61="Muy Baja",'Mapa de Riesgos'!$L$61="Menor"),CONCATENATE("R",'Mapa de Riesgos'!$A$61),"")</f>
        <v>R30</v>
      </c>
      <c r="S43" s="105" t="str">
        <f>+IF(AND('Mapa de Riesgos'!$H$82="Muy Baja",'Mapa de Riesgos'!$L$82="Menor"),CONCATENATE("R",'Mapa de Riesgos'!$A$82),"")</f>
        <v/>
      </c>
      <c r="T43" s="117" t="str">
        <f ca="1">+IF(AND('Mapa de Riesgos'!$H$21="Muy Baja",'Mapa de Riesgos'!$L$21="Moderado"),CONCATENATE("R",'Mapa de Riesgos'!$A$21),"")</f>
        <v/>
      </c>
      <c r="U43" s="104" t="str">
        <f ca="1">+IF(AND('Mapa de Riesgos'!$H$34="Muy Baja",'Mapa de Riesgos'!$L$34="Moderado"),CONCATENATE("R",'Mapa de Riesgos'!$A$34),"")</f>
        <v/>
      </c>
      <c r="V43" s="104" t="e">
        <f>+IF(AND('Mapa de Riesgos'!#REF!="Muy Baja",'Mapa de Riesgos'!#REF!="Moderado"),CONCATENATE("R",'Mapa de Riesgos'!#REF!),"")</f>
        <v>#REF!</v>
      </c>
      <c r="W43" s="104" t="str">
        <f ca="1">+IF(AND('Mapa de Riesgos'!$H$61="Muy Baja",'Mapa de Riesgos'!$L$61="Moderado"),CONCATENATE("R",'Mapa de Riesgos'!$A$61),"")</f>
        <v/>
      </c>
      <c r="X43" s="104" t="str">
        <f>+IF(AND('Mapa de Riesgos'!$H$82="Muy Baja",'Mapa de Riesgos'!$L$82="Moderado"),CONCATENATE("R",'Mapa de Riesgos'!$A$82),"")</f>
        <v/>
      </c>
      <c r="Y43" s="109" t="str">
        <f ca="1">+IF(AND('Mapa de Riesgos'!$H$21="Muy Baja",'Mapa de Riesgos'!$L$21="Mayor"),CONCATENATE("R",'Mapa de Riesgos'!$A$21),"")</f>
        <v/>
      </c>
      <c r="Z43" s="102" t="str">
        <f ca="1">+IF(AND('Mapa de Riesgos'!$H$34="Muy Baja",'Mapa de Riesgos'!$L$34="Mayor"),CONCATENATE("R",'Mapa de Riesgos'!$A$34),"")</f>
        <v/>
      </c>
      <c r="AA43" s="102" t="e">
        <f>+IF(AND('Mapa de Riesgos'!#REF!="Muy Baja",'Mapa de Riesgos'!#REF!="Mayor"),CONCATENATE("R",'Mapa de Riesgos'!#REF!),"")</f>
        <v>#REF!</v>
      </c>
      <c r="AB43" s="102" t="str">
        <f ca="1">+IF(AND('Mapa de Riesgos'!$H$61="Muy Baja",'Mapa de Riesgos'!$L$61="Mayor"),CONCATENATE("R",'Mapa de Riesgos'!$A$61),"")</f>
        <v/>
      </c>
      <c r="AC43" s="102" t="str">
        <f>+IF(AND('Mapa de Riesgos'!$H$82="Muy Baja",'Mapa de Riesgos'!$L$82="Mayor"),CONCATENATE("R",'Mapa de Riesgos'!$A$82),"")</f>
        <v/>
      </c>
      <c r="AD43" s="133" t="str">
        <f ca="1">+IF(AND('Mapa de Riesgos'!$H$21="Muy Baja",'Mapa de Riesgos'!$L$21="Catastrófico"),CONCATENATE("R",'Mapa de Riesgos'!$A$21),"")</f>
        <v/>
      </c>
      <c r="AE43" s="103" t="str">
        <f ca="1">+IF(AND('Mapa de Riesgos'!$H$34="Muy Baja",'Mapa de Riesgos'!$L$34="Catastrófico"),CONCATENATE("R",'Mapa de Riesgos'!$A$34),"")</f>
        <v/>
      </c>
      <c r="AF43" s="103" t="e">
        <f>+IF(AND('Mapa de Riesgos'!#REF!="Muy Baja",'Mapa de Riesgos'!#REF!="Catastrófico"),CONCATENATE("R",'Mapa de Riesgos'!#REF!),"")</f>
        <v>#REF!</v>
      </c>
      <c r="AG43" s="103" t="str">
        <f ca="1">+IF(AND('Mapa de Riesgos'!$H$61="Muy Baja",'Mapa de Riesgos'!$L$61="Catastrófico"),CONCATENATE("R",'Mapa de Riesgos'!$A$61),"")</f>
        <v/>
      </c>
      <c r="AH43" s="129" t="str">
        <f>+IF(AND('Mapa de Riesgos'!$H$82="Muy Baja",'Mapa de Riesgos'!$L$82="Catastrófico"),CONCATENATE("R",'Mapa de Riesgos'!$A$82),"")</f>
        <v/>
      </c>
      <c r="AI43" s="100"/>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row>
    <row r="44" spans="1:76" ht="18.75" x14ac:dyDescent="0.3">
      <c r="A44" s="38"/>
      <c r="B44" s="294"/>
      <c r="C44" s="294"/>
      <c r="D44" s="295"/>
      <c r="E44" s="298"/>
      <c r="F44" s="299"/>
      <c r="G44" s="299"/>
      <c r="H44" s="299"/>
      <c r="I44" s="299"/>
      <c r="J44" s="124" t="str">
        <f ca="1">+IF(AND('Mapa de Riesgos'!$H$23="Muy Baja",'Mapa de Riesgos'!$L$23="Leve"),CONCATENATE("R",'Mapa de Riesgos'!$A$23),"")</f>
        <v/>
      </c>
      <c r="K44" s="105" t="str">
        <f ca="1">+IF(AND('Mapa de Riesgos'!$H$36="Muy Baja",'Mapa de Riesgos'!$L$36="Leve"),CONCATENATE("R",'Mapa de Riesgos'!$A$36),"")</f>
        <v/>
      </c>
      <c r="L44" s="105" t="str">
        <f ca="1">+IF(AND('Mapa de Riesgos'!$H$48="Muy Baja",'Mapa de Riesgos'!$L$48="Leve"),CONCATENATE("R",'Mapa de Riesgos'!$A$48),"")</f>
        <v/>
      </c>
      <c r="M44" s="105" t="str">
        <f ca="1">+IF(AND('Mapa de Riesgos'!$H$63="Muy Baja",'Mapa de Riesgos'!$L$63="Leve"),CONCATENATE("R",'Mapa de Riesgos'!$A$63),"")</f>
        <v/>
      </c>
      <c r="N44" s="105" t="str">
        <f>+IF(AND('Mapa de Riesgos'!$H$88="Muy Baja",'Mapa de Riesgos'!$L$88="Leve"),CONCATENATE("R",'Mapa de Riesgos'!$A$88),"")</f>
        <v/>
      </c>
      <c r="O44" s="124" t="str">
        <f ca="1">+IF(AND('Mapa de Riesgos'!$H$23="Muy Baja",'Mapa de Riesgos'!$L$23="Menor"),CONCATENATE("R",'Mapa de Riesgos'!$A$23),"")</f>
        <v/>
      </c>
      <c r="P44" s="105" t="str">
        <f ca="1">+IF(AND('Mapa de Riesgos'!$H$36="Muy Baja",'Mapa de Riesgos'!$L$36="Menor"),CONCATENATE("R",'Mapa de Riesgos'!$A$36),"")</f>
        <v/>
      </c>
      <c r="Q44" s="105" t="str">
        <f ca="1">+IF(AND('Mapa de Riesgos'!$H$48="Muy Baja",'Mapa de Riesgos'!$L$48="Menor"),CONCATENATE("R",'Mapa de Riesgos'!$A$48),"")</f>
        <v/>
      </c>
      <c r="R44" s="105" t="str">
        <f ca="1">+IF(AND('Mapa de Riesgos'!$H$63="Muy Baja",'Mapa de Riesgos'!$L$63="Menor"),CONCATENATE("R",'Mapa de Riesgos'!$A$63),"")</f>
        <v/>
      </c>
      <c r="S44" s="105" t="str">
        <f>+IF(AND('Mapa de Riesgos'!$H$88="Muy Baja",'Mapa de Riesgos'!$L$88="Menor"),CONCATENATE("R",'Mapa de Riesgos'!$A$88),"")</f>
        <v/>
      </c>
      <c r="T44" s="117" t="str">
        <f ca="1">+IF(AND('Mapa de Riesgos'!$H$23="Muy Baja",'Mapa de Riesgos'!$L$23="Moderado"),CONCATENATE("R",'Mapa de Riesgos'!$A$23),"")</f>
        <v/>
      </c>
      <c r="U44" s="104" t="str">
        <f ca="1">+IF(AND('Mapa de Riesgos'!$H$36="Muy Baja",'Mapa de Riesgos'!$L$36="Moderado"),CONCATENATE("R",'Mapa de Riesgos'!$A$36),"")</f>
        <v/>
      </c>
      <c r="V44" s="104" t="str">
        <f ca="1">+IF(AND('Mapa de Riesgos'!$H$48="Muy Baja",'Mapa de Riesgos'!$L$48="Moderado"),CONCATENATE("R",'Mapa de Riesgos'!$A$48),"")</f>
        <v/>
      </c>
      <c r="W44" s="104" t="str">
        <f ca="1">+IF(AND('Mapa de Riesgos'!$H$63="Muy Baja",'Mapa de Riesgos'!$L$63="Moderado"),CONCATENATE("R",'Mapa de Riesgos'!$A$63),"")</f>
        <v/>
      </c>
      <c r="X44" s="104" t="str">
        <f>+IF(AND('Mapa de Riesgos'!$H$88="Muy Baja",'Mapa de Riesgos'!$L$88="Moderado"),CONCATENATE("R",'Mapa de Riesgos'!$A$88),"")</f>
        <v/>
      </c>
      <c r="Y44" s="109" t="str">
        <f ca="1">+IF(AND('Mapa de Riesgos'!$H$23="Muy Baja",'Mapa de Riesgos'!$L$23="Mayor"),CONCATENATE("R",'Mapa de Riesgos'!$A$23),"")</f>
        <v/>
      </c>
      <c r="Z44" s="102" t="str">
        <f ca="1">+IF(AND('Mapa de Riesgos'!$H$36="Muy Baja",'Mapa de Riesgos'!$L$36="Mayor"),CONCATENATE("R",'Mapa de Riesgos'!$A$36),"")</f>
        <v/>
      </c>
      <c r="AA44" s="102" t="str">
        <f ca="1">+IF(AND('Mapa de Riesgos'!$H$48="Muy Baja",'Mapa de Riesgos'!$L$48="Mayor"),CONCATENATE("R",'Mapa de Riesgos'!$A$48),"")</f>
        <v/>
      </c>
      <c r="AB44" s="102" t="str">
        <f ca="1">+IF(AND('Mapa de Riesgos'!$H$63="Muy Baja",'Mapa de Riesgos'!$L$63="Mayor"),CONCATENATE("R",'Mapa de Riesgos'!$A$63),"")</f>
        <v/>
      </c>
      <c r="AC44" s="102" t="str">
        <f>+IF(AND('Mapa de Riesgos'!$H$88="Muy Baja",'Mapa de Riesgos'!$L$88="Mayor"),CONCATENATE("R",'Mapa de Riesgos'!$A$88),"")</f>
        <v/>
      </c>
      <c r="AD44" s="133" t="str">
        <f ca="1">+IF(AND('Mapa de Riesgos'!$H$23="Muy Baja",'Mapa de Riesgos'!$L$23="Catastrófico"),CONCATENATE("R",'Mapa de Riesgos'!$A$23),"")</f>
        <v/>
      </c>
      <c r="AE44" s="103" t="str">
        <f ca="1">+IF(AND('Mapa de Riesgos'!$H$36="Muy Baja",'Mapa de Riesgos'!$L$36="Catastrófico"),CONCATENATE("R",'Mapa de Riesgos'!$A$36),"")</f>
        <v/>
      </c>
      <c r="AF44" s="103" t="str">
        <f ca="1">+IF(AND('Mapa de Riesgos'!$H$48="Muy Baja",'Mapa de Riesgos'!$L$48="Catastrófico"),CONCATENATE("R",'Mapa de Riesgos'!$A$48),"")</f>
        <v/>
      </c>
      <c r="AG44" s="103" t="str">
        <f ca="1">+IF(AND('Mapa de Riesgos'!$H$63="Muy Baja",'Mapa de Riesgos'!$L$63="Catastrófico"),CONCATENATE("R",'Mapa de Riesgos'!$A$63),"")</f>
        <v/>
      </c>
      <c r="AH44" s="129" t="str">
        <f>+IF(AND('Mapa de Riesgos'!$H$88="Muy Baja",'Mapa de Riesgos'!$L$88="Catastrófico"),CONCATENATE("R",'Mapa de Riesgos'!$A$88),"")</f>
        <v/>
      </c>
      <c r="AI44" s="100"/>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row>
    <row r="45" spans="1:76" ht="19.5" thickBot="1" x14ac:dyDescent="0.35">
      <c r="A45" s="38"/>
      <c r="B45" s="294"/>
      <c r="C45" s="294"/>
      <c r="D45" s="295"/>
      <c r="E45" s="300"/>
      <c r="F45" s="301"/>
      <c r="G45" s="301"/>
      <c r="H45" s="301"/>
      <c r="I45" s="301"/>
      <c r="J45" s="125" t="str">
        <f ca="1">+IF(AND('Mapa de Riesgos'!$H$26="Muy Baja",'Mapa de Riesgos'!$L$26="Leve"),CONCATENATE("R",'Mapa de Riesgos'!$A$26),"")</f>
        <v/>
      </c>
      <c r="K45" s="126" t="str">
        <f ca="1">+IF(AND('Mapa de Riesgos'!$H$37="Muy Baja",'Mapa de Riesgos'!$L$37="Leve"),CONCATENATE("R",'Mapa de Riesgos'!$A$37),"")</f>
        <v/>
      </c>
      <c r="L45" s="126" t="str">
        <f ca="1">+IF(AND('Mapa de Riesgos'!$H$51="Muy Baja",'Mapa de Riesgos'!$L$51="Leve"),CONCATENATE("R",'Mapa de Riesgos'!$A$51),"")</f>
        <v/>
      </c>
      <c r="M45" s="126" t="str">
        <f ca="1">+IF(AND('Mapa de Riesgos'!$H$64="Muy Baja",'Mapa de Riesgos'!$L$64="Leve"),CONCATENATE("R",'Mapa de Riesgos'!$A$64),"")</f>
        <v/>
      </c>
      <c r="N45" s="126" t="str">
        <f>+IF(AND('Mapa de Riesgos'!$H$94="Muy Baja",'Mapa de Riesgos'!$L$94="Leve"),CONCATENATE("R",'Mapa de Riesgos'!$A$94),"")</f>
        <v/>
      </c>
      <c r="O45" s="125" t="str">
        <f ca="1">+IF(AND('Mapa de Riesgos'!$H$26="Muy Baja",'Mapa de Riesgos'!$L$26="Menor"),CONCATENATE("R",'Mapa de Riesgos'!$A$26),"")</f>
        <v/>
      </c>
      <c r="P45" s="126" t="str">
        <f ca="1">+IF(AND('Mapa de Riesgos'!$H$37="Muy Baja",'Mapa de Riesgos'!$L$37="Menor"),CONCATENATE("R",'Mapa de Riesgos'!$A$37),"")</f>
        <v/>
      </c>
      <c r="Q45" s="126" t="str">
        <f ca="1">+IF(AND('Mapa de Riesgos'!$H$51="Muy Baja",'Mapa de Riesgos'!$L$51="Menor"),CONCATENATE("R",'Mapa de Riesgos'!$A$51),"")</f>
        <v/>
      </c>
      <c r="R45" s="126" t="str">
        <f ca="1">+IF(AND('Mapa de Riesgos'!$H$64="Muy Baja",'Mapa de Riesgos'!$L$64="Menor"),CONCATENATE("R",'Mapa de Riesgos'!$A$64),"")</f>
        <v/>
      </c>
      <c r="S45" s="126" t="str">
        <f>+IF(AND('Mapa de Riesgos'!$H$94="Muy Baja",'Mapa de Riesgos'!$L$94="Menor"),CONCATENATE("R",'Mapa de Riesgos'!$A$94),"")</f>
        <v/>
      </c>
      <c r="T45" s="119" t="str">
        <f ca="1">+IF(AND('Mapa de Riesgos'!$H$26="Muy Baja",'Mapa de Riesgos'!$L$26="Moderado"),CONCATENATE("R",'Mapa de Riesgos'!$A$26),"")</f>
        <v/>
      </c>
      <c r="U45" s="120" t="str">
        <f ca="1">+IF(AND('Mapa de Riesgos'!$H$37="Muy Baja",'Mapa de Riesgos'!$L$37="Moderado"),CONCATENATE("R",'Mapa de Riesgos'!$A$37),"")</f>
        <v/>
      </c>
      <c r="V45" s="120" t="str">
        <f ca="1">+IF(AND('Mapa de Riesgos'!$H$51="Muy Baja",'Mapa de Riesgos'!$L$51="Moderado"),CONCATENATE("R",'Mapa de Riesgos'!$A$51),"")</f>
        <v/>
      </c>
      <c r="W45" s="120" t="str">
        <f ca="1">+IF(AND('Mapa de Riesgos'!$H$64="Muy Baja",'Mapa de Riesgos'!$L$64="Moderado"),CONCATENATE("R",'Mapa de Riesgos'!$A$64),"")</f>
        <v/>
      </c>
      <c r="X45" s="120" t="str">
        <f>+IF(AND('Mapa de Riesgos'!$H$94="Muy Baja",'Mapa de Riesgos'!$L$94="Moderado"),CONCATENATE("R",'Mapa de Riesgos'!$A$94),"")</f>
        <v/>
      </c>
      <c r="Y45" s="111" t="str">
        <f ca="1">+IF(AND('Mapa de Riesgos'!$H$26="Muy Baja",'Mapa de Riesgos'!$L$26="Mayor"),CONCATENATE("R",'Mapa de Riesgos'!$A$26),"")</f>
        <v/>
      </c>
      <c r="Z45" s="112" t="str">
        <f ca="1">+IF(AND('Mapa de Riesgos'!$H$37="Muy Baja",'Mapa de Riesgos'!$L$37="Mayor"),CONCATENATE("R",'Mapa de Riesgos'!$A$37),"")</f>
        <v/>
      </c>
      <c r="AA45" s="112" t="str">
        <f ca="1">+IF(AND('Mapa de Riesgos'!$H$51="Muy Baja",'Mapa de Riesgos'!$L$51="Mayor"),CONCATENATE("R",'Mapa de Riesgos'!$A$51),"")</f>
        <v/>
      </c>
      <c r="AB45" s="112" t="str">
        <f ca="1">+IF(AND('Mapa de Riesgos'!$H$64="Muy Baja",'Mapa de Riesgos'!$L$64="Mayor"),CONCATENATE("R",'Mapa de Riesgos'!$A$64),"")</f>
        <v/>
      </c>
      <c r="AC45" s="112" t="str">
        <f>+IF(AND('Mapa de Riesgos'!$H$94="Muy Baja",'Mapa de Riesgos'!$L$94="Mayor"),CONCATENATE("R",'Mapa de Riesgos'!$A$94),"")</f>
        <v/>
      </c>
      <c r="AD45" s="134" t="str">
        <f ca="1">+IF(AND('Mapa de Riesgos'!$H$26="Muy Baja",'Mapa de Riesgos'!$L$26="Catastrófico"),CONCATENATE("R",'Mapa de Riesgos'!$A$26),"")</f>
        <v/>
      </c>
      <c r="AE45" s="130" t="str">
        <f ca="1">+IF(AND('Mapa de Riesgos'!$H$37="Muy Baja",'Mapa de Riesgos'!$L$37="Catastrófico"),CONCATENATE("R",'Mapa de Riesgos'!$A$37),"")</f>
        <v/>
      </c>
      <c r="AF45" s="130" t="str">
        <f ca="1">+IF(AND('Mapa de Riesgos'!$H$51="Muy Baja",'Mapa de Riesgos'!$L$51="Catastrófico"),CONCATENATE("R",'Mapa de Riesgos'!$A$51),"")</f>
        <v/>
      </c>
      <c r="AG45" s="130" t="str">
        <f ca="1">+IF(AND('Mapa de Riesgos'!$H$64="Muy Baja",'Mapa de Riesgos'!$L$64="Catastrófico"),CONCATENATE("R",'Mapa de Riesgos'!$A$64),"")</f>
        <v/>
      </c>
      <c r="AH45" s="131" t="str">
        <f>+IF(AND('Mapa de Riesgos'!$H$94="Muy Baja",'Mapa de Riesgos'!$L$94="Catastrófico"),CONCATENATE("R",'Mapa de Riesgos'!$A$94),"")</f>
        <v/>
      </c>
      <c r="AI45" s="100"/>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row>
    <row r="46" spans="1:76" ht="153" customHeight="1" thickBot="1" x14ac:dyDescent="0.3">
      <c r="A46" s="38"/>
      <c r="B46" s="38"/>
      <c r="C46" s="38"/>
      <c r="D46" s="38"/>
      <c r="E46" s="38"/>
      <c r="F46" s="38"/>
      <c r="G46" s="38"/>
      <c r="H46" s="38"/>
      <c r="I46" s="38"/>
      <c r="J46" s="289" t="s">
        <v>90</v>
      </c>
      <c r="K46" s="290"/>
      <c r="L46" s="290"/>
      <c r="M46" s="290"/>
      <c r="N46" s="291"/>
      <c r="O46" s="289" t="s">
        <v>91</v>
      </c>
      <c r="P46" s="290"/>
      <c r="Q46" s="290"/>
      <c r="R46" s="290"/>
      <c r="S46" s="291"/>
      <c r="T46" s="289" t="s">
        <v>92</v>
      </c>
      <c r="U46" s="290"/>
      <c r="V46" s="290"/>
      <c r="W46" s="290"/>
      <c r="X46" s="291"/>
      <c r="Y46" s="289" t="s">
        <v>93</v>
      </c>
      <c r="Z46" s="290"/>
      <c r="AA46" s="290"/>
      <c r="AB46" s="290"/>
      <c r="AC46" s="291"/>
      <c r="AD46" s="289" t="s">
        <v>94</v>
      </c>
      <c r="AE46" s="290"/>
      <c r="AF46" s="290"/>
      <c r="AG46" s="290"/>
      <c r="AH46" s="291"/>
      <c r="AI46" s="101"/>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row>
    <row r="47" spans="1:76" x14ac:dyDescent="0.25">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row>
    <row r="48" spans="1:76" x14ac:dyDescent="0.2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row>
    <row r="49" spans="1:76" x14ac:dyDescent="0.2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row>
    <row r="50" spans="1:76" x14ac:dyDescent="0.25">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row>
    <row r="51" spans="1:76" x14ac:dyDescent="0.2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row>
    <row r="52" spans="1:76" x14ac:dyDescent="0.2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row>
    <row r="53" spans="1:76" x14ac:dyDescent="0.2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row>
    <row r="54" spans="1:76" x14ac:dyDescent="0.25">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row>
    <row r="55" spans="1:76" x14ac:dyDescent="0.25">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row>
    <row r="56" spans="1:76" x14ac:dyDescent="0.2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row>
    <row r="57" spans="1:76" x14ac:dyDescent="0.2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row>
    <row r="58" spans="1:76" x14ac:dyDescent="0.25">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row>
    <row r="59" spans="1:76" x14ac:dyDescent="0.25">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row>
    <row r="60" spans="1:76" x14ac:dyDescent="0.2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row>
    <row r="61" spans="1:76" x14ac:dyDescent="0.25">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row>
    <row r="62" spans="1:76" x14ac:dyDescent="0.25">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row>
    <row r="63" spans="1:76" x14ac:dyDescent="0.25">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row>
    <row r="64" spans="1:76" x14ac:dyDescent="0.25">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row>
    <row r="65" spans="1:76" x14ac:dyDescent="0.25">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row>
    <row r="66" spans="1:76" x14ac:dyDescent="0.25">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row>
    <row r="67" spans="1:76" x14ac:dyDescent="0.25">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row>
    <row r="68" spans="1:76" x14ac:dyDescent="0.25">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row>
    <row r="69" spans="1:76" x14ac:dyDescent="0.25">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row>
    <row r="70" spans="1:76" x14ac:dyDescent="0.25">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row>
    <row r="71" spans="1:76" x14ac:dyDescent="0.25">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row>
    <row r="72" spans="1:76" x14ac:dyDescent="0.25">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row>
    <row r="73" spans="1:76" x14ac:dyDescent="0.25">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row>
    <row r="74" spans="1:76" x14ac:dyDescent="0.25">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row>
    <row r="75" spans="1:76" x14ac:dyDescent="0.25">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row>
    <row r="76" spans="1:76" x14ac:dyDescent="0.25">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row>
    <row r="77" spans="1:76" x14ac:dyDescent="0.25">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row>
    <row r="78" spans="1:76" x14ac:dyDescent="0.25">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row>
    <row r="79" spans="1:76" x14ac:dyDescent="0.25">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row>
    <row r="80" spans="1:76" x14ac:dyDescent="0.25">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row>
    <row r="81" spans="1:59" x14ac:dyDescent="0.25">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row>
    <row r="82" spans="1:59" x14ac:dyDescent="0.25">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row>
    <row r="83" spans="1:59" x14ac:dyDescent="0.25">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row>
    <row r="84" spans="1:59" x14ac:dyDescent="0.25">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row>
    <row r="85" spans="1:59" x14ac:dyDescent="0.25">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row>
    <row r="86" spans="1:59" x14ac:dyDescent="0.25">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row>
    <row r="87" spans="1:59" x14ac:dyDescent="0.25">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row>
    <row r="88" spans="1:59" x14ac:dyDescent="0.25">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row>
    <row r="89" spans="1:59" x14ac:dyDescent="0.25">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row>
    <row r="90" spans="1:59" x14ac:dyDescent="0.25">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row>
    <row r="91" spans="1:59" x14ac:dyDescent="0.25">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row>
    <row r="92" spans="1:59" x14ac:dyDescent="0.25">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row>
    <row r="93" spans="1:59" x14ac:dyDescent="0.25">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row>
    <row r="94" spans="1:59" x14ac:dyDescent="0.25">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row>
    <row r="95" spans="1:59" x14ac:dyDescent="0.25">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row>
    <row r="96" spans="1:59" x14ac:dyDescent="0.25">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row>
    <row r="97" spans="1:59" x14ac:dyDescent="0.25">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row>
    <row r="98" spans="1:59" x14ac:dyDescent="0.25">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row>
    <row r="99" spans="1:59" x14ac:dyDescent="0.25">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row>
    <row r="100" spans="1:59" x14ac:dyDescent="0.25">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row>
    <row r="101" spans="1:59" x14ac:dyDescent="0.25">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row>
    <row r="102" spans="1:59" x14ac:dyDescent="0.25">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row>
    <row r="103" spans="1:59" x14ac:dyDescent="0.25">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row>
    <row r="104" spans="1:59" x14ac:dyDescent="0.25">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row>
    <row r="105" spans="1:59" x14ac:dyDescent="0.25">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row>
    <row r="106" spans="1:59" x14ac:dyDescent="0.25">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row>
    <row r="107" spans="1:59" x14ac:dyDescent="0.25">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row>
    <row r="108" spans="1:59" x14ac:dyDescent="0.25">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row>
    <row r="109" spans="1:59" x14ac:dyDescent="0.25">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row>
    <row r="110" spans="1:59" x14ac:dyDescent="0.25">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row>
    <row r="111" spans="1:59" x14ac:dyDescent="0.25">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row>
    <row r="112" spans="1:59" x14ac:dyDescent="0.25">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row>
    <row r="113" spans="2:59" x14ac:dyDescent="0.25">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row>
    <row r="114" spans="2:59" x14ac:dyDescent="0.25">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row>
    <row r="115" spans="2:59" x14ac:dyDescent="0.25">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row>
    <row r="116" spans="2:59" x14ac:dyDescent="0.25">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row>
    <row r="117" spans="2:59" x14ac:dyDescent="0.25">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row>
    <row r="118" spans="2:59" x14ac:dyDescent="0.25">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row>
    <row r="119" spans="2:59" x14ac:dyDescent="0.25">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row>
    <row r="120" spans="2:59" x14ac:dyDescent="0.25">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row>
    <row r="121" spans="2:59" x14ac:dyDescent="0.25">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row>
    <row r="122" spans="2:59" x14ac:dyDescent="0.25">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row>
    <row r="123" spans="2:59" x14ac:dyDescent="0.25">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row>
    <row r="124" spans="2:59" x14ac:dyDescent="0.25">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row>
    <row r="125" spans="2:59" x14ac:dyDescent="0.25">
      <c r="B125" s="38"/>
      <c r="C125" s="38"/>
      <c r="D125" s="38"/>
      <c r="E125" s="38"/>
      <c r="F125" s="38"/>
      <c r="G125" s="38"/>
      <c r="H125" s="38"/>
      <c r="I125" s="38"/>
    </row>
    <row r="126" spans="2:59" x14ac:dyDescent="0.25">
      <c r="B126" s="38"/>
      <c r="C126" s="38"/>
      <c r="D126" s="38"/>
      <c r="E126" s="38"/>
      <c r="F126" s="38"/>
      <c r="G126" s="38"/>
      <c r="H126" s="38"/>
      <c r="I126" s="38"/>
    </row>
    <row r="127" spans="2:59" x14ac:dyDescent="0.25">
      <c r="B127" s="38"/>
      <c r="C127" s="38"/>
      <c r="D127" s="38"/>
      <c r="E127" s="38"/>
      <c r="F127" s="38"/>
      <c r="G127" s="38"/>
      <c r="H127" s="38"/>
      <c r="I127" s="38"/>
    </row>
    <row r="128" spans="2:59" x14ac:dyDescent="0.25">
      <c r="B128" s="38"/>
      <c r="C128" s="38"/>
      <c r="D128" s="38"/>
      <c r="E128" s="38"/>
      <c r="F128" s="38"/>
      <c r="G128" s="38"/>
      <c r="H128" s="38"/>
      <c r="I128" s="38"/>
    </row>
  </sheetData>
  <mergeCells count="17">
    <mergeCell ref="B2:I4"/>
    <mergeCell ref="J2:AI4"/>
    <mergeCell ref="B6:D45"/>
    <mergeCell ref="E6:I13"/>
    <mergeCell ref="AK6:AP13"/>
    <mergeCell ref="E14:I21"/>
    <mergeCell ref="AK14:AP21"/>
    <mergeCell ref="E22:I29"/>
    <mergeCell ref="AK22:AP29"/>
    <mergeCell ref="E30:I37"/>
    <mergeCell ref="AK30:AP37"/>
    <mergeCell ref="E38:I45"/>
    <mergeCell ref="J46:N46"/>
    <mergeCell ref="O46:S46"/>
    <mergeCell ref="T46:X46"/>
    <mergeCell ref="Y46:AC46"/>
    <mergeCell ref="AD46:AH4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0B1DF-CBC2-424D-8670-E2553E6F9E6C}">
  <dimension ref="A1:CP128"/>
  <sheetViews>
    <sheetView showGridLines="0" zoomScale="50" zoomScaleNormal="50" workbookViewId="0">
      <selection activeCell="W16" sqref="W16"/>
    </sheetView>
  </sheetViews>
  <sheetFormatPr baseColWidth="10" defaultColWidth="7.7109375" defaultRowHeight="15" x14ac:dyDescent="0.25"/>
  <sheetData>
    <row r="1" spans="1:94"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row>
    <row r="2" spans="1:94" x14ac:dyDescent="0.25">
      <c r="A2" s="38"/>
      <c r="B2" s="292" t="s">
        <v>79</v>
      </c>
      <c r="C2" s="292"/>
      <c r="D2" s="292"/>
      <c r="E2" s="292"/>
      <c r="F2" s="292"/>
      <c r="G2" s="292"/>
      <c r="H2" s="292"/>
      <c r="I2" s="292"/>
      <c r="J2" s="293" t="s">
        <v>12</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row>
    <row r="3" spans="1:94" x14ac:dyDescent="0.25">
      <c r="A3" s="38"/>
      <c r="B3" s="292"/>
      <c r="C3" s="292"/>
      <c r="D3" s="292"/>
      <c r="E3" s="292"/>
      <c r="F3" s="292"/>
      <c r="G3" s="292"/>
      <c r="H3" s="292"/>
      <c r="I3" s="292"/>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38"/>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row>
    <row r="4" spans="1:94" x14ac:dyDescent="0.25">
      <c r="A4" s="38"/>
      <c r="B4" s="292"/>
      <c r="C4" s="292"/>
      <c r="D4" s="292"/>
      <c r="E4" s="292"/>
      <c r="F4" s="292"/>
      <c r="G4" s="292"/>
      <c r="H4" s="292"/>
      <c r="I4" s="292"/>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row>
    <row r="5" spans="1:94" ht="15.75" thickBot="1" x14ac:dyDescent="0.3">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row>
    <row r="6" spans="1:94" ht="18.75" x14ac:dyDescent="0.3">
      <c r="A6" s="38"/>
      <c r="B6" s="294" t="s">
        <v>80</v>
      </c>
      <c r="C6" s="294"/>
      <c r="D6" s="295"/>
      <c r="E6" s="296" t="s">
        <v>81</v>
      </c>
      <c r="F6" s="297"/>
      <c r="G6" s="297"/>
      <c r="H6" s="297"/>
      <c r="I6" s="297"/>
      <c r="J6" s="106" t="str">
        <f ca="1">+IF(AND('Mapa de Riesgos'!$Y$7="Muy AAAta",'Mapa de Riesgos'!$AA$7="AAeve"),CONCATENATE("R",'Mapa de Riesgos'!$A$7),"")</f>
        <v/>
      </c>
      <c r="K6" s="107" t="str">
        <f ca="1">+IF(AND('Mapa de Riesgos'!$Y$27="Muy AAAta",'Mapa de Riesgos'!$AA$27="AAeve"),CONCATENATE("R",'Mapa de Riesgos'!$A$27),"")</f>
        <v/>
      </c>
      <c r="L6" s="107" t="str">
        <f ca="1">+IF(AND('Mapa de Riesgos'!$Y$39="Muy AAAta",'Mapa de Riesgos'!$AA$39="AAeve"),CONCATENATE("R",'Mapa de Riesgos'!$A$39),"")</f>
        <v/>
      </c>
      <c r="M6" s="107" t="str">
        <f ca="1">+IF(AND('Mapa de Riesgos'!$Y$53="Muy AAAta",'Mapa de Riesgos'!$AA$53="AAeve"),CONCATENATE("R",'Mapa de Riesgos'!$A$53),"")</f>
        <v/>
      </c>
      <c r="N6" s="107" t="str">
        <f ca="1">+IF(AND('Mapa de Riesgos'!$Y$66="Muy AAAta",'Mapa de Riesgos'!$AA$66="AAeve"),CONCATENATE("R",'Mapa de Riesgos'!$A$66),"")</f>
        <v/>
      </c>
      <c r="O6" s="106" t="str">
        <f ca="1">+IF(AND('Mapa de Riesgos'!$Y$7="Muy AAAta",'Mapa de Riesgos'!$AA$7="Menor"),CONCATENATE("R",'Mapa de Riesgos'!$A$7),"")</f>
        <v/>
      </c>
      <c r="P6" s="107" t="str">
        <f ca="1">+IF(AND('Mapa de Riesgos'!$Y$27="Muy AAAta",'Mapa de Riesgos'!$AA$27="Menor"),CONCATENATE("R",'Mapa de Riesgos'!$A$27),"")</f>
        <v/>
      </c>
      <c r="Q6" s="107" t="str">
        <f ca="1">+IF(AND('Mapa de Riesgos'!$Y$39="Muy AAAta",'Mapa de Riesgos'!$AA$39="Menor"),CONCATENATE("R",'Mapa de Riesgos'!$A$39),"")</f>
        <v/>
      </c>
      <c r="R6" s="107" t="str">
        <f ca="1">+IF(AND('Mapa de Riesgos'!$Y$53="Muy AAAta",'Mapa de Riesgos'!$AA$53="Menor"),CONCATENATE("R",'Mapa de Riesgos'!$A$53),"")</f>
        <v/>
      </c>
      <c r="S6" s="107" t="str">
        <f ca="1">+IF(AND('Mapa de Riesgos'!$Y$66="Muy AAAta",'Mapa de Riesgos'!$AA$66="Menor"),CONCATENATE("R",'Mapa de Riesgos'!$A$66),"")</f>
        <v/>
      </c>
      <c r="T6" s="106" t="str">
        <f ca="1">+IF(AND('Mapa de Riesgos'!$Y$7="Muy AAAta",'Mapa de Riesgos'!$AA$7="Moderado"),CONCATENATE("R",'Mapa de Riesgos'!$A$7),"")</f>
        <v/>
      </c>
      <c r="U6" s="107" t="str">
        <f ca="1">+IF(AND('Mapa de Riesgos'!$Y$27="Muy AAAta",'Mapa de Riesgos'!$AA$27="Moderado"),CONCATENATE("R",'Mapa de Riesgos'!$A$27),"")</f>
        <v/>
      </c>
      <c r="V6" s="107" t="str">
        <f ca="1">+IF(AND('Mapa de Riesgos'!$Y$39="Muy AAAta",'Mapa de Riesgos'!$AA$39="Moderado"),CONCATENATE("R",'Mapa de Riesgos'!$A$39),"")</f>
        <v/>
      </c>
      <c r="W6" s="107" t="str">
        <f ca="1">+IF(AND('Mapa de Riesgos'!$Y$53="Muy AAAta",'Mapa de Riesgos'!$AA$53="Moderado"),CONCATENATE("R",'Mapa de Riesgos'!$A$53),"")</f>
        <v/>
      </c>
      <c r="X6" s="107" t="str">
        <f ca="1">+IF(AND('Mapa de Riesgos'!$Y$66="Muy AAAta",'Mapa de Riesgos'!$AA$66="Moderado"),CONCATENATE("R",'Mapa de Riesgos'!$A$66),"")</f>
        <v/>
      </c>
      <c r="Y6" s="106" t="str">
        <f ca="1">+IF(AND('Mapa de Riesgos'!$Y$7="Muy AAAta",'Mapa de Riesgos'!$AA$7="Mayor"),CONCATENATE("R",'Mapa de Riesgos'!$A$7),"")</f>
        <v/>
      </c>
      <c r="Z6" s="107" t="str">
        <f ca="1">+IF(AND('Mapa de Riesgos'!$Y$27="Muy AAAta",'Mapa de Riesgos'!$AA$27="Mayor"),CONCATENATE("R",'Mapa de Riesgos'!$A$27),"")</f>
        <v/>
      </c>
      <c r="AA6" s="107" t="str">
        <f ca="1">+IF(AND('Mapa de Riesgos'!$Y$39="Muy AAAta",'Mapa de Riesgos'!$AA$39="Mayor"),CONCATENATE("R",'Mapa de Riesgos'!$A$39),"")</f>
        <v/>
      </c>
      <c r="AB6" s="107" t="str">
        <f ca="1">+IF(AND('Mapa de Riesgos'!$Y$53="Muy AAAta",'Mapa de Riesgos'!$AA$53="Mayor"),CONCATENATE("R",'Mapa de Riesgos'!$A$53),"")</f>
        <v/>
      </c>
      <c r="AC6" s="107" t="str">
        <f ca="1">+IF(AND('Mapa de Riesgos'!$Y$66="Muy AAAta",'Mapa de Riesgos'!$AA$66="Mayor"),CONCATENATE("R",'Mapa de Riesgos'!$A$66),"")</f>
        <v/>
      </c>
      <c r="AD6" s="132" t="str">
        <f ca="1">+IF(AND('Mapa de Riesgos'!$Y$7="Muy AAAta",'Mapa de Riesgos'!$AA$7="Catastrófico"),CONCATENATE("R",'Mapa de Riesgos'!$A$7),"")</f>
        <v/>
      </c>
      <c r="AE6" s="127" t="str">
        <f ca="1">+IF(AND('Mapa de Riesgos'!$Y$27="Muy AAAta",'Mapa de Riesgos'!$AA$27="Catastrófico"),CONCATENATE("R",'Mapa de Riesgos'!$A$27),"")</f>
        <v/>
      </c>
      <c r="AF6" s="127" t="str">
        <f ca="1">+IF(AND('Mapa de Riesgos'!$Y$39="Muy AAAta",'Mapa de Riesgos'!$AA$39="Catastrófico"),CONCATENATE("R",'Mapa de Riesgos'!$A$39),"")</f>
        <v/>
      </c>
      <c r="AG6" s="127" t="str">
        <f ca="1">+IF(AND('Mapa de Riesgos'!$Y$53="Muy AAAta",'Mapa de Riesgos'!$AA$53="Catastrófico"),CONCATENATE("R",'Mapa de Riesgos'!$A$53),"")</f>
        <v/>
      </c>
      <c r="AH6" s="128" t="str">
        <f ca="1">+IF(AND('Mapa de Riesgos'!$Y$66="Muy AAAta",'Mapa de Riesgos'!$AA$66="Catastrófico"),CONCATENATE("R",'Mapa de Riesgos'!$A$66),"")</f>
        <v/>
      </c>
      <c r="AJ6" s="302" t="s">
        <v>82</v>
      </c>
      <c r="AK6" s="303"/>
      <c r="AL6" s="303"/>
      <c r="AM6" s="303"/>
      <c r="AN6" s="303"/>
      <c r="AO6" s="304"/>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row>
    <row r="7" spans="1:94" ht="18.75" x14ac:dyDescent="0.3">
      <c r="A7" s="38"/>
      <c r="B7" s="294"/>
      <c r="C7" s="294"/>
      <c r="D7" s="295"/>
      <c r="E7" s="298"/>
      <c r="F7" s="299"/>
      <c r="G7" s="299"/>
      <c r="H7" s="299"/>
      <c r="I7" s="299"/>
      <c r="J7" s="109" t="str">
        <f ca="1">+IF(AND('Mapa de Riesgos'!$Y$9="Muy AAAta",'Mapa de Riesgos'!$AA$9="AAeve"),CONCATENATE("R",'Mapa de Riesgos'!$A$9),"")</f>
        <v/>
      </c>
      <c r="K7" s="102" t="str">
        <f ca="1">+IF(AND('Mapa de Riesgos'!$Y$28="Muy AAAta",'Mapa de Riesgos'!$AA$28="AAeve"),CONCATENATE("R",'Mapa de Riesgos'!$A$28),"")</f>
        <v/>
      </c>
      <c r="L7" s="102" t="str">
        <f ca="1">+IF(AND('Mapa de Riesgos'!$Y$40="Muy AAAta",'Mapa de Riesgos'!$AA$40="AAeve"),CONCATENATE("R",'Mapa de Riesgos'!$A$40),"")</f>
        <v/>
      </c>
      <c r="M7" s="102" t="str">
        <f ca="1">+IF(AND('Mapa de Riesgos'!$Y$56="Muy AAAta",'Mapa de Riesgos'!$AA$56="AAeve"),CONCATENATE("R",'Mapa de Riesgos'!$A$56),"")</f>
        <v/>
      </c>
      <c r="N7" s="102" t="str">
        <f ca="1">+IF(AND('Mapa de Riesgos'!$Y$68="Muy AAAta",'Mapa de Riesgos'!$AA$68="AAeve"),CONCATENATE("R",'Mapa de Riesgos'!$A$68),"")</f>
        <v/>
      </c>
      <c r="O7" s="109" t="str">
        <f ca="1">+IF(AND('Mapa de Riesgos'!$Y$9="Muy AAAta",'Mapa de Riesgos'!$AA$9="Menor"),CONCATENATE("R",'Mapa de Riesgos'!$A$9),"")</f>
        <v/>
      </c>
      <c r="P7" s="102" t="str">
        <f ca="1">+IF(AND('Mapa de Riesgos'!$Y$28="Muy AAAta",'Mapa de Riesgos'!$AA$28="Menor"),CONCATENATE("R",'Mapa de Riesgos'!$A$28),"")</f>
        <v/>
      </c>
      <c r="Q7" s="102" t="str">
        <f ca="1">+IF(AND('Mapa de Riesgos'!$Y$40="Muy AAAta",'Mapa de Riesgos'!$AA$40="Menor"),CONCATENATE("R",'Mapa de Riesgos'!$A$40),"")</f>
        <v/>
      </c>
      <c r="R7" s="102" t="str">
        <f ca="1">+IF(AND('Mapa de Riesgos'!$Y$56="Muy AAAta",'Mapa de Riesgos'!$AA$56="Menor"),CONCATENATE("R",'Mapa de Riesgos'!$A$56),"")</f>
        <v/>
      </c>
      <c r="S7" s="102" t="str">
        <f ca="1">+IF(AND('Mapa de Riesgos'!$Y$68="Muy AAAta",'Mapa de Riesgos'!$AA$68="Menor"),CONCATENATE("R",'Mapa de Riesgos'!$A$68),"")</f>
        <v/>
      </c>
      <c r="T7" s="109" t="str">
        <f ca="1">+IF(AND('Mapa de Riesgos'!$Y$9="Muy AAAta",'Mapa de Riesgos'!$AA$9="Moderado"),CONCATENATE("R",'Mapa de Riesgos'!$A$9),"")</f>
        <v/>
      </c>
      <c r="U7" s="102" t="str">
        <f ca="1">+IF(AND('Mapa de Riesgos'!$Y$28="Muy AAAta",'Mapa de Riesgos'!$AA$28="Moderado"),CONCATENATE("R",'Mapa de Riesgos'!$A$28),"")</f>
        <v/>
      </c>
      <c r="V7" s="102" t="str">
        <f ca="1">+IF(AND('Mapa de Riesgos'!$Y$40="Muy AAAta",'Mapa de Riesgos'!$AA$40="Moderado"),CONCATENATE("R",'Mapa de Riesgos'!$A$40),"")</f>
        <v/>
      </c>
      <c r="W7" s="102" t="str">
        <f ca="1">+IF(AND('Mapa de Riesgos'!$Y$56="Muy AAAta",'Mapa de Riesgos'!$AA$56="Moderado"),CONCATENATE("R",'Mapa de Riesgos'!$A$56),"")</f>
        <v/>
      </c>
      <c r="X7" s="102" t="str">
        <f ca="1">+IF(AND('Mapa de Riesgos'!$Y$68="Muy AAAta",'Mapa de Riesgos'!$AA$68="Moderado"),CONCATENATE("R",'Mapa de Riesgos'!$A$68),"")</f>
        <v/>
      </c>
      <c r="Y7" s="109" t="str">
        <f ca="1">+IF(AND('Mapa de Riesgos'!$Y$9="Muy AAAta",'Mapa de Riesgos'!$AA$9="Mayor"),CONCATENATE("R",'Mapa de Riesgos'!$A$9),"")</f>
        <v/>
      </c>
      <c r="Z7" s="102" t="str">
        <f ca="1">+IF(AND('Mapa de Riesgos'!$Y$28="Muy AAAta",'Mapa de Riesgos'!$AA$28="Mayor"),CONCATENATE("R",'Mapa de Riesgos'!$A$28),"")</f>
        <v/>
      </c>
      <c r="AA7" s="102" t="str">
        <f ca="1">+IF(AND('Mapa de Riesgos'!$Y$40="Muy AAAta",'Mapa de Riesgos'!$AA$40="Mayor"),CONCATENATE("R",'Mapa de Riesgos'!$A$40),"")</f>
        <v/>
      </c>
      <c r="AB7" s="102" t="str">
        <f ca="1">+IF(AND('Mapa de Riesgos'!$Y$56="Muy AAAta",'Mapa de Riesgos'!$AA$56="Mayor"),CONCATENATE("R",'Mapa de Riesgos'!$A$56),"")</f>
        <v/>
      </c>
      <c r="AC7" s="102" t="str">
        <f ca="1">+IF(AND('Mapa de Riesgos'!$Y$68="Muy AAAta",'Mapa de Riesgos'!$AA$68="Mayor"),CONCATENATE("R",'Mapa de Riesgos'!$A$68),"")</f>
        <v/>
      </c>
      <c r="AD7" s="133" t="str">
        <f ca="1">+IF(AND('Mapa de Riesgos'!$Y$9="Muy AAAta",'Mapa de Riesgos'!$AA$9="Catastrófico"),CONCATENATE("R",'Mapa de Riesgos'!$A$9),"")</f>
        <v/>
      </c>
      <c r="AE7" s="103" t="str">
        <f ca="1">+IF(AND('Mapa de Riesgos'!$Y$28="Muy AAAta",'Mapa de Riesgos'!$AA$28="Catastrófico"),CONCATENATE("R",'Mapa de Riesgos'!$A$28),"")</f>
        <v/>
      </c>
      <c r="AF7" s="103" t="str">
        <f ca="1">+IF(AND('Mapa de Riesgos'!$Y$40="Muy AAAta",'Mapa de Riesgos'!$AA$40="Catastrófico"),CONCATENATE("R",'Mapa de Riesgos'!$A$40),"")</f>
        <v/>
      </c>
      <c r="AG7" s="103" t="str">
        <f ca="1">+IF(AND('Mapa de Riesgos'!$Y$56="Muy AAAta",'Mapa de Riesgos'!$AA$56="Catastrófico"),CONCATENATE("R",'Mapa de Riesgos'!$A$56),"")</f>
        <v/>
      </c>
      <c r="AH7" s="129" t="str">
        <f ca="1">+IF(AND('Mapa de Riesgos'!$Y$68="Muy AAAta",'Mapa de Riesgos'!$AA$68="Catastrófico"),CONCATENATE("R",'Mapa de Riesgos'!$A$68),"")</f>
        <v/>
      </c>
      <c r="AI7" s="38"/>
      <c r="AJ7" s="305"/>
      <c r="AK7" s="306"/>
      <c r="AL7" s="306"/>
      <c r="AM7" s="306"/>
      <c r="AN7" s="306"/>
      <c r="AO7" s="307"/>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row>
    <row r="8" spans="1:94" ht="18.75" x14ac:dyDescent="0.3">
      <c r="A8" s="38"/>
      <c r="B8" s="294"/>
      <c r="C8" s="294"/>
      <c r="D8" s="295"/>
      <c r="E8" s="298"/>
      <c r="F8" s="299"/>
      <c r="G8" s="299"/>
      <c r="H8" s="299"/>
      <c r="I8" s="299"/>
      <c r="J8" s="109" t="str">
        <f ca="1">+IF(AND('Mapa de Riesgos'!$Y$15="Muy AAAta",'Mapa de Riesgos'!$AA$15="AAeve"),CONCATENATE("R",'Mapa de Riesgos'!$A$15),"")</f>
        <v/>
      </c>
      <c r="K8" s="102" t="str">
        <f ca="1">+IF(AND('Mapa de Riesgos'!$Y$29="Muy AAAta",'Mapa de Riesgos'!$AA$29="AAeve"),CONCATENATE("R",'Mapa de Riesgos'!$A$29),"")</f>
        <v/>
      </c>
      <c r="L8" s="102" t="str">
        <f ca="1">+IF(AND('Mapa de Riesgos'!$Y$42="Muy AAAta",'Mapa de Riesgos'!$AA$42="AAeve"),CONCATENATE("R",'Mapa de Riesgos'!$A$42),"")</f>
        <v/>
      </c>
      <c r="M8" s="102" t="str">
        <f ca="1">+IF(AND('Mapa de Riesgos'!$Y$57="Muy AAAta",'Mapa de Riesgos'!$AA$57="AAeve"),CONCATENATE("R",'Mapa de Riesgos'!$A$57),"")</f>
        <v/>
      </c>
      <c r="N8" s="102" t="str">
        <f ca="1">+IF(AND('Mapa de Riesgos'!$Y$70="Muy AAAta",'Mapa de Riesgos'!$AA$70="AAeve"),CONCATENATE("R",'Mapa de Riesgos'!$A$70),"")</f>
        <v/>
      </c>
      <c r="O8" s="109" t="str">
        <f ca="1">+IF(AND('Mapa de Riesgos'!$Y$15="Muy AAAta",'Mapa de Riesgos'!$AA$15="Menor"),CONCATENATE("R",'Mapa de Riesgos'!$A$15),"")</f>
        <v/>
      </c>
      <c r="P8" s="102" t="str">
        <f ca="1">+IF(AND('Mapa de Riesgos'!$Y$29="Muy AAAta",'Mapa de Riesgos'!$AA$29="Menor"),CONCATENATE("R",'Mapa de Riesgos'!$A$29),"")</f>
        <v/>
      </c>
      <c r="Q8" s="102" t="str">
        <f ca="1">+IF(AND('Mapa de Riesgos'!$Y$42="Muy AAAta",'Mapa de Riesgos'!$AA$42="Menor"),CONCATENATE("R",'Mapa de Riesgos'!$A$42),"")</f>
        <v/>
      </c>
      <c r="R8" s="102" t="str">
        <f ca="1">+IF(AND('Mapa de Riesgos'!$Y$57="Muy AAAta",'Mapa de Riesgos'!$AA$57="Menor"),CONCATENATE("R",'Mapa de Riesgos'!$A$57),"")</f>
        <v/>
      </c>
      <c r="S8" s="102" t="str">
        <f ca="1">+IF(AND('Mapa de Riesgos'!$Y$70="Muy AAAta",'Mapa de Riesgos'!$AA$70="Menor"),CONCATENATE("R",'Mapa de Riesgos'!$A$70),"")</f>
        <v/>
      </c>
      <c r="T8" s="109" t="str">
        <f ca="1">+IF(AND('Mapa de Riesgos'!$Y$15="Muy AAAta",'Mapa de Riesgos'!$AA$15="Moderado"),CONCATENATE("R",'Mapa de Riesgos'!$A$15),"")</f>
        <v/>
      </c>
      <c r="U8" s="102" t="str">
        <f ca="1">+IF(AND('Mapa de Riesgos'!$Y$29="Muy AAAta",'Mapa de Riesgos'!$AA$29="Moderado"),CONCATENATE("R",'Mapa de Riesgos'!$A$29),"")</f>
        <v/>
      </c>
      <c r="V8" s="102" t="str">
        <f ca="1">+IF(AND('Mapa de Riesgos'!$Y$42="Muy AAAta",'Mapa de Riesgos'!$AA$42="Moderado"),CONCATENATE("R",'Mapa de Riesgos'!$A$42),"")</f>
        <v/>
      </c>
      <c r="W8" s="102" t="str">
        <f ca="1">+IF(AND('Mapa de Riesgos'!$Y$57="Muy AAAta",'Mapa de Riesgos'!$AA$57="Moderado"),CONCATENATE("R",'Mapa de Riesgos'!$A$57),"")</f>
        <v/>
      </c>
      <c r="X8" s="102" t="str">
        <f ca="1">+IF(AND('Mapa de Riesgos'!$Y$70="Muy AAAta",'Mapa de Riesgos'!$AA$70="Moderado"),CONCATENATE("R",'Mapa de Riesgos'!$A$70),"")</f>
        <v/>
      </c>
      <c r="Y8" s="109" t="str">
        <f ca="1">+IF(AND('Mapa de Riesgos'!$Y$15="Muy AAAta",'Mapa de Riesgos'!$AA$15="Mayor"),CONCATENATE("R",'Mapa de Riesgos'!$A$15),"")</f>
        <v/>
      </c>
      <c r="Z8" s="102" t="str">
        <f ca="1">+IF(AND('Mapa de Riesgos'!$Y$29="Muy AAAta",'Mapa de Riesgos'!$AA$29="Mayor"),CONCATENATE("R",'Mapa de Riesgos'!$A$29),"")</f>
        <v/>
      </c>
      <c r="AA8" s="102" t="str">
        <f ca="1">+IF(AND('Mapa de Riesgos'!$Y$42="Muy AAAta",'Mapa de Riesgos'!$AA$42="Mayor"),CONCATENATE("R",'Mapa de Riesgos'!$A$42),"")</f>
        <v/>
      </c>
      <c r="AB8" s="102" t="str">
        <f ca="1">+IF(AND('Mapa de Riesgos'!$Y$57="Muy AAAta",'Mapa de Riesgos'!$AA$57="Mayor"),CONCATENATE("R",'Mapa de Riesgos'!$A$57),"")</f>
        <v/>
      </c>
      <c r="AC8" s="102" t="str">
        <f ca="1">+IF(AND('Mapa de Riesgos'!$Y$70="Muy AAAta",'Mapa de Riesgos'!$AA$70="Mayor"),CONCATENATE("R",'Mapa de Riesgos'!$A$70),"")</f>
        <v/>
      </c>
      <c r="AD8" s="133" t="str">
        <f ca="1">+IF(AND('Mapa de Riesgos'!$Y$15="Muy AAAta",'Mapa de Riesgos'!$AA$15="Catastrófico"),CONCATENATE("R",'Mapa de Riesgos'!$A$15),"")</f>
        <v/>
      </c>
      <c r="AE8" s="103" t="str">
        <f ca="1">+IF(AND('Mapa de Riesgos'!$Y$29="Muy AAAta",'Mapa de Riesgos'!$AA$29="Catastrófico"),CONCATENATE("R",'Mapa de Riesgos'!$A$29),"")</f>
        <v/>
      </c>
      <c r="AF8" s="103" t="str">
        <f ca="1">+IF(AND('Mapa de Riesgos'!$Y$42="Muy AAAta",'Mapa de Riesgos'!$AA$42="Catastrófico"),CONCATENATE("R",'Mapa de Riesgos'!$A$42),"")</f>
        <v/>
      </c>
      <c r="AG8" s="103" t="str">
        <f ca="1">+IF(AND('Mapa de Riesgos'!$Y$57="Muy AAAta",'Mapa de Riesgos'!$AA$57="Catastrófico"),CONCATENATE("R",'Mapa de Riesgos'!$A$57),"")</f>
        <v/>
      </c>
      <c r="AH8" s="129" t="str">
        <f ca="1">+IF(AND('Mapa de Riesgos'!$Y$70="Muy AAAta",'Mapa de Riesgos'!$AA$70="Catastrófico"),CONCATENATE("R",'Mapa de Riesgos'!$A$70),"")</f>
        <v/>
      </c>
      <c r="AI8" s="38"/>
      <c r="AJ8" s="305"/>
      <c r="AK8" s="306"/>
      <c r="AL8" s="306"/>
      <c r="AM8" s="306"/>
      <c r="AN8" s="306"/>
      <c r="AO8" s="307"/>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row>
    <row r="9" spans="1:94" ht="18.75" x14ac:dyDescent="0.3">
      <c r="A9" s="38"/>
      <c r="B9" s="294"/>
      <c r="C9" s="294"/>
      <c r="D9" s="295"/>
      <c r="E9" s="298"/>
      <c r="F9" s="299"/>
      <c r="G9" s="299"/>
      <c r="H9" s="299"/>
      <c r="I9" s="299"/>
      <c r="J9" s="109" t="str">
        <f ca="1">+IF(AND('Mapa de Riesgos'!$Y$17="Muy AAAta",'Mapa de Riesgos'!$AA$17="AAeve"),CONCATENATE("R",'Mapa de Riesgos'!$A$17),"")</f>
        <v/>
      </c>
      <c r="K9" s="102" t="str">
        <f ca="1">+IF(AND('Mapa de Riesgos'!$Y$30="Muy AAAta",'Mapa de Riesgos'!$AA$30="AAeve"),CONCATENATE("R",'Mapa de Riesgos'!$A$30),"")</f>
        <v/>
      </c>
      <c r="L9" s="102" t="str">
        <f ca="1">+IF(AND('Mapa de Riesgos'!$Y$44="Muy AAAta",'Mapa de Riesgos'!$AA$44="AAeve"),CONCATENATE("R",'Mapa de Riesgos'!$A$44),"")</f>
        <v/>
      </c>
      <c r="M9" s="102" t="str">
        <f ca="1">+IF(AND('Mapa de Riesgos'!$Y$58="Muy AAAta",'Mapa de Riesgos'!$AA$58="AAeve"),CONCATENATE("R",'Mapa de Riesgos'!$A$58),"")</f>
        <v/>
      </c>
      <c r="N9" s="102" t="str">
        <f ca="1">+IF(AND('Mapa de Riesgos'!$Y$72="Muy AAAta",'Mapa de Riesgos'!$AA$72="AAeve"),CONCATENATE("R",'Mapa de Riesgos'!$A$72),"")</f>
        <v/>
      </c>
      <c r="O9" s="109" t="str">
        <f ca="1">+IF(AND('Mapa de Riesgos'!$Y$17="Muy AAAta",'Mapa de Riesgos'!$AA$17="Menor"),CONCATENATE("R",'Mapa de Riesgos'!$A$17),"")</f>
        <v/>
      </c>
      <c r="P9" s="102" t="str">
        <f ca="1">+IF(AND('Mapa de Riesgos'!$Y$30="Muy AAAta",'Mapa de Riesgos'!$AA$30="Menor"),CONCATENATE("R",'Mapa de Riesgos'!$A$30),"")</f>
        <v/>
      </c>
      <c r="Q9" s="102" t="str">
        <f ca="1">+IF(AND('Mapa de Riesgos'!$Y$44="Muy AAAta",'Mapa de Riesgos'!$AA$44="Menor"),CONCATENATE("R",'Mapa de Riesgos'!$A$44),"")</f>
        <v/>
      </c>
      <c r="R9" s="102" t="str">
        <f ca="1">+IF(AND('Mapa de Riesgos'!$Y$58="Muy AAAta",'Mapa de Riesgos'!$AA$58="Menor"),CONCATENATE("R",'Mapa de Riesgos'!$A$58),"")</f>
        <v/>
      </c>
      <c r="S9" s="102" t="str">
        <f ca="1">+IF(AND('Mapa de Riesgos'!$Y$72="Muy AAAta",'Mapa de Riesgos'!$AA$72="Menor"),CONCATENATE("R",'Mapa de Riesgos'!$A$72),"")</f>
        <v/>
      </c>
      <c r="T9" s="109" t="str">
        <f ca="1">+IF(AND('Mapa de Riesgos'!$Y$17="Muy AAAta",'Mapa de Riesgos'!$AA$17="Moderado"),CONCATENATE("R",'Mapa de Riesgos'!$A$17),"")</f>
        <v/>
      </c>
      <c r="U9" s="102" t="str">
        <f ca="1">+IF(AND('Mapa de Riesgos'!$Y$30="Muy AAAta",'Mapa de Riesgos'!$AA$30="Moderado"),CONCATENATE("R",'Mapa de Riesgos'!$A$30),"")</f>
        <v/>
      </c>
      <c r="V9" s="102" t="str">
        <f ca="1">+IF(AND('Mapa de Riesgos'!$Y$44="Muy AAAta",'Mapa de Riesgos'!$AA$44="Moderado"),CONCATENATE("R",'Mapa de Riesgos'!$A$44),"")</f>
        <v/>
      </c>
      <c r="W9" s="102" t="str">
        <f ca="1">+IF(AND('Mapa de Riesgos'!$Y$58="Muy AAAta",'Mapa de Riesgos'!$AA$58="Moderado"),CONCATENATE("R",'Mapa de Riesgos'!$A$58),"")</f>
        <v/>
      </c>
      <c r="X9" s="102" t="str">
        <f ca="1">+IF(AND('Mapa de Riesgos'!$Y$72="Muy AAAta",'Mapa de Riesgos'!$AA$72="Moderado"),CONCATENATE("R",'Mapa de Riesgos'!$A$72),"")</f>
        <v/>
      </c>
      <c r="Y9" s="109" t="str">
        <f ca="1">+IF(AND('Mapa de Riesgos'!$Y$17="Muy AAAta",'Mapa de Riesgos'!$AA$17="Mayor"),CONCATENATE("R",'Mapa de Riesgos'!$A$17),"")</f>
        <v/>
      </c>
      <c r="Z9" s="102" t="str">
        <f ca="1">+IF(AND('Mapa de Riesgos'!$Y$30="Muy AAAta",'Mapa de Riesgos'!$AA$30="Mayor"),CONCATENATE("R",'Mapa de Riesgos'!$A$30),"")</f>
        <v/>
      </c>
      <c r="AA9" s="102" t="str">
        <f ca="1">+IF(AND('Mapa de Riesgos'!$Y$44="Muy AAAta",'Mapa de Riesgos'!$AA$44="Mayor"),CONCATENATE("R",'Mapa de Riesgos'!$A$44),"")</f>
        <v/>
      </c>
      <c r="AB9" s="102" t="str">
        <f ca="1">+IF(AND('Mapa de Riesgos'!$Y$58="Muy AAAta",'Mapa de Riesgos'!$AA$58="Mayor"),CONCATENATE("R",'Mapa de Riesgos'!$A$58),"")</f>
        <v/>
      </c>
      <c r="AC9" s="102" t="str">
        <f ca="1">+IF(AND('Mapa de Riesgos'!$Y$72="Muy AAAta",'Mapa de Riesgos'!$AA$72="Mayor"),CONCATENATE("R",'Mapa de Riesgos'!$A$72),"")</f>
        <v/>
      </c>
      <c r="AD9" s="133" t="str">
        <f ca="1">+IF(AND('Mapa de Riesgos'!$Y$17="Muy AAAta",'Mapa de Riesgos'!$AA$17="Catastrófico"),CONCATENATE("R",'Mapa de Riesgos'!$A$17),"")</f>
        <v/>
      </c>
      <c r="AE9" s="103" t="str">
        <f ca="1">+IF(AND('Mapa de Riesgos'!$Y$30="Muy AAAta",'Mapa de Riesgos'!$AA$30="Catastrófico"),CONCATENATE("R",'Mapa de Riesgos'!$A$30),"")</f>
        <v/>
      </c>
      <c r="AF9" s="103" t="str">
        <f ca="1">+IF(AND('Mapa de Riesgos'!$Y$44="Muy AAAta",'Mapa de Riesgos'!$AA$44="Catastrófico"),CONCATENATE("R",'Mapa de Riesgos'!$A$44),"")</f>
        <v/>
      </c>
      <c r="AG9" s="103" t="str">
        <f ca="1">+IF(AND('Mapa de Riesgos'!$Y$58="Muy AAAta",'Mapa de Riesgos'!$AA$58="Catastrófico"),CONCATENATE("R",'Mapa de Riesgos'!$A$58),"")</f>
        <v/>
      </c>
      <c r="AH9" s="129" t="str">
        <f ca="1">+IF(AND('Mapa de Riesgos'!$Y$72="Muy AAAta",'Mapa de Riesgos'!$AA$72="Catastrófico"),CONCATENATE("R",'Mapa de Riesgos'!$A$72),"")</f>
        <v/>
      </c>
      <c r="AI9" s="38"/>
      <c r="AJ9" s="305"/>
      <c r="AK9" s="306"/>
      <c r="AL9" s="306"/>
      <c r="AM9" s="306"/>
      <c r="AN9" s="306"/>
      <c r="AO9" s="307"/>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row>
    <row r="10" spans="1:94" ht="18.75" x14ac:dyDescent="0.3">
      <c r="A10" s="38"/>
      <c r="B10" s="294"/>
      <c r="C10" s="294"/>
      <c r="D10" s="295"/>
      <c r="E10" s="298"/>
      <c r="F10" s="299"/>
      <c r="G10" s="299"/>
      <c r="H10" s="299"/>
      <c r="I10" s="299"/>
      <c r="J10" s="109" t="str">
        <f ca="1">+IF(AND('Mapa de Riesgos'!$Y$19="Muy AAAta",'Mapa de Riesgos'!$AA$19="AAeve"),CONCATENATE("R",'Mapa de Riesgos'!$A$19),"")</f>
        <v/>
      </c>
      <c r="K10" s="102" t="str">
        <f ca="1">+IF(AND('Mapa de Riesgos'!$Y$32="Muy AAAta",'Mapa de Riesgos'!$AA$32="AAeve"),CONCATENATE("R",'Mapa de Riesgos'!$A$32),"")</f>
        <v/>
      </c>
      <c r="L10" s="102" t="str">
        <f ca="1">+IF(AND('Mapa de Riesgos'!$Y$45="Muy AAAta",'Mapa de Riesgos'!$AA$45="AAeve"),CONCATENATE("R",'Mapa de Riesgos'!$A$45),"")</f>
        <v/>
      </c>
      <c r="M10" s="102" t="str">
        <f ca="1">+IF(AND('Mapa de Riesgos'!$Y$60="Muy AAAta",'Mapa de Riesgos'!$AA$60="AAeve"),CONCATENATE("R",'Mapa de Riesgos'!$A$60),"")</f>
        <v/>
      </c>
      <c r="N10" s="102" t="str">
        <f>+IF(AND('Mapa de Riesgos'!$Y$76="Muy AAAta",'Mapa de Riesgos'!$AA$76="AAeve"),CONCATENATE("R",'Mapa de Riesgos'!$A$76),"")</f>
        <v/>
      </c>
      <c r="O10" s="109" t="str">
        <f ca="1">+IF(AND('Mapa de Riesgos'!$Y$19="Muy AAAta",'Mapa de Riesgos'!$AA$19="Menor"),CONCATENATE("R",'Mapa de Riesgos'!$A$19),"")</f>
        <v/>
      </c>
      <c r="P10" s="102" t="str">
        <f ca="1">+IF(AND('Mapa de Riesgos'!$Y$32="Muy AAAta",'Mapa de Riesgos'!$AA$32="Menor"),CONCATENATE("R",'Mapa de Riesgos'!$A$32),"")</f>
        <v/>
      </c>
      <c r="Q10" s="102" t="str">
        <f ca="1">+IF(AND('Mapa de Riesgos'!$Y$45="Muy AAAta",'Mapa de Riesgos'!$AA$45="Menor"),CONCATENATE("R",'Mapa de Riesgos'!$A$45),"")</f>
        <v/>
      </c>
      <c r="R10" s="102" t="str">
        <f ca="1">+IF(AND('Mapa de Riesgos'!$Y$60="Muy AAAta",'Mapa de Riesgos'!$AA$60="Menor"),CONCATENATE("R",'Mapa de Riesgos'!$A$60),"")</f>
        <v/>
      </c>
      <c r="S10" s="102" t="str">
        <f>+IF(AND('Mapa de Riesgos'!$Y$76="Muy AAAta",'Mapa de Riesgos'!$AA$76="Menor"),CONCATENATE("R",'Mapa de Riesgos'!$A$76),"")</f>
        <v/>
      </c>
      <c r="T10" s="109" t="str">
        <f ca="1">+IF(AND('Mapa de Riesgos'!$Y$19="Muy AAAta",'Mapa de Riesgos'!$AA$19="Moderado"),CONCATENATE("R",'Mapa de Riesgos'!$A$19),"")</f>
        <v/>
      </c>
      <c r="U10" s="102" t="str">
        <f ca="1">+IF(AND('Mapa de Riesgos'!$Y$32="Muy AAAta",'Mapa de Riesgos'!$AA$32="Moderado"),CONCATENATE("R",'Mapa de Riesgos'!$A$32),"")</f>
        <v/>
      </c>
      <c r="V10" s="102" t="str">
        <f ca="1">+IF(AND('Mapa de Riesgos'!$Y$45="Muy AAAta",'Mapa de Riesgos'!$AA$45="Moderado"),CONCATENATE("R",'Mapa de Riesgos'!$A$45),"")</f>
        <v/>
      </c>
      <c r="W10" s="102" t="str">
        <f ca="1">+IF(AND('Mapa de Riesgos'!$Y$60="Muy AAAta",'Mapa de Riesgos'!$AA$60="Moderado"),CONCATENATE("R",'Mapa de Riesgos'!$A$60),"")</f>
        <v/>
      </c>
      <c r="X10" s="102" t="str">
        <f>+IF(AND('Mapa de Riesgos'!$Y$76="Muy AAAta",'Mapa de Riesgos'!$AA$76="Moderado"),CONCATENATE("R",'Mapa de Riesgos'!$A$76),"")</f>
        <v/>
      </c>
      <c r="Y10" s="109" t="str">
        <f ca="1">+IF(AND('Mapa de Riesgos'!$Y$19="Muy AAAta",'Mapa de Riesgos'!$AA$19="Mayor"),CONCATENATE("R",'Mapa de Riesgos'!$A$19),"")</f>
        <v/>
      </c>
      <c r="Z10" s="102" t="str">
        <f ca="1">+IF(AND('Mapa de Riesgos'!$Y$32="Muy AAAta",'Mapa de Riesgos'!$AA$32="Mayor"),CONCATENATE("R",'Mapa de Riesgos'!$A$32),"")</f>
        <v/>
      </c>
      <c r="AA10" s="102" t="str">
        <f ca="1">+IF(AND('Mapa de Riesgos'!$Y$45="Muy AAAta",'Mapa de Riesgos'!$AA$45="Mayor"),CONCATENATE("R",'Mapa de Riesgos'!$A$45),"")</f>
        <v/>
      </c>
      <c r="AB10" s="102" t="str">
        <f ca="1">+IF(AND('Mapa de Riesgos'!$Y$60="Muy AAAta",'Mapa de Riesgos'!$AA$60="Mayor"),CONCATENATE("R",'Mapa de Riesgos'!$A$60),"")</f>
        <v/>
      </c>
      <c r="AC10" s="102" t="str">
        <f>+IF(AND('Mapa de Riesgos'!$Y$76="Muy AAAta",'Mapa de Riesgos'!$AA$76="Mayor"),CONCATENATE("R",'Mapa de Riesgos'!$A$76),"")</f>
        <v/>
      </c>
      <c r="AD10" s="133" t="str">
        <f ca="1">+IF(AND('Mapa de Riesgos'!$Y$19="Muy AAAta",'Mapa de Riesgos'!$AA$19="Catastrófico"),CONCATENATE("R",'Mapa de Riesgos'!$A$19),"")</f>
        <v/>
      </c>
      <c r="AE10" s="103" t="str">
        <f ca="1">+IF(AND('Mapa de Riesgos'!$Y$32="Muy AAAta",'Mapa de Riesgos'!$AA$32="Catastrófico"),CONCATENATE("R",'Mapa de Riesgos'!$A$32),"")</f>
        <v/>
      </c>
      <c r="AF10" s="103" t="str">
        <f ca="1">+IF(AND('Mapa de Riesgos'!$Y$45="Muy AAAta",'Mapa de Riesgos'!$AA$45="Catastrófico"),CONCATENATE("R",'Mapa de Riesgos'!$A$45),"")</f>
        <v/>
      </c>
      <c r="AG10" s="103" t="str">
        <f ca="1">+IF(AND('Mapa de Riesgos'!$Y$60="Muy AAAta",'Mapa de Riesgos'!$AA$60="Catastrófico"),CONCATENATE("R",'Mapa de Riesgos'!$A$60),"")</f>
        <v/>
      </c>
      <c r="AH10" s="129" t="str">
        <f>+IF(AND('Mapa de Riesgos'!$Y$76="Muy AAAta",'Mapa de Riesgos'!$AA$76="Catastrófico"),CONCATENATE("R",'Mapa de Riesgos'!$A$76),"")</f>
        <v/>
      </c>
      <c r="AI10" s="38"/>
      <c r="AJ10" s="305"/>
      <c r="AK10" s="306"/>
      <c r="AL10" s="306"/>
      <c r="AM10" s="306"/>
      <c r="AN10" s="306"/>
      <c r="AO10" s="307"/>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row>
    <row r="11" spans="1:94" ht="18.75" x14ac:dyDescent="0.3">
      <c r="A11" s="38"/>
      <c r="B11" s="294"/>
      <c r="C11" s="294"/>
      <c r="D11" s="295"/>
      <c r="E11" s="298"/>
      <c r="F11" s="299"/>
      <c r="G11" s="299"/>
      <c r="H11" s="299"/>
      <c r="I11" s="299"/>
      <c r="J11" s="109" t="str">
        <f ca="1">+IF(AND('Mapa de Riesgos'!$Y$21="Muy AAAta",'Mapa de Riesgos'!$AA$21="AAeve"),CONCATENATE("R",'Mapa de Riesgos'!$A$21),"")</f>
        <v/>
      </c>
      <c r="K11" s="102" t="str">
        <f ca="1">+IF(AND('Mapa de Riesgos'!$Y$34="Muy AAAta",'Mapa de Riesgos'!$AA$34="AAeve"),CONCATENATE("R",'Mapa de Riesgos'!$A$34),"")</f>
        <v/>
      </c>
      <c r="L11" s="102" t="e">
        <f>+IF(AND('Mapa de Riesgos'!#REF!="Muy AAAta",'Mapa de Riesgos'!#REF!="AAeve"),CONCATENATE("R",'Mapa de Riesgos'!#REF!),"")</f>
        <v>#REF!</v>
      </c>
      <c r="M11" s="102" t="str">
        <f ca="1">+IF(AND('Mapa de Riesgos'!$Y$61="Muy AAAta",'Mapa de Riesgos'!$AA$61="AAeve"),CONCATENATE("R",'Mapa de Riesgos'!$A$61),"")</f>
        <v/>
      </c>
      <c r="N11" s="102" t="str">
        <f>+IF(AND('Mapa de Riesgos'!$Y$82="Muy AAAta",'Mapa de Riesgos'!$AA$82="AAeve"),CONCATENATE("R",'Mapa de Riesgos'!$A$82),"")</f>
        <v/>
      </c>
      <c r="O11" s="109" t="str">
        <f ca="1">+IF(AND('Mapa de Riesgos'!$Y$21="Muy AAAta",'Mapa de Riesgos'!$AA$21="Menor"),CONCATENATE("R",'Mapa de Riesgos'!$A$21),"")</f>
        <v/>
      </c>
      <c r="P11" s="102" t="str">
        <f ca="1">+IF(AND('Mapa de Riesgos'!$Y$34="Muy AAAta",'Mapa de Riesgos'!$AA$34="Menor"),CONCATENATE("R",'Mapa de Riesgos'!$A$34),"")</f>
        <v/>
      </c>
      <c r="Q11" s="102" t="e">
        <f>+IF(AND('Mapa de Riesgos'!#REF!="Muy AAAta",'Mapa de Riesgos'!#REF!="Menor"),CONCATENATE("R",'Mapa de Riesgos'!#REF!),"")</f>
        <v>#REF!</v>
      </c>
      <c r="R11" s="102" t="str">
        <f ca="1">+IF(AND('Mapa de Riesgos'!$Y$61="Muy AAAta",'Mapa de Riesgos'!$AA$61="Menor"),CONCATENATE("R",'Mapa de Riesgos'!$A$61),"")</f>
        <v/>
      </c>
      <c r="S11" s="102" t="str">
        <f>+IF(AND('Mapa de Riesgos'!$Y$82="Muy AAAta",'Mapa de Riesgos'!$AA$82="Menor"),CONCATENATE("R",'Mapa de Riesgos'!$A$82),"")</f>
        <v/>
      </c>
      <c r="T11" s="109" t="str">
        <f ca="1">+IF(AND('Mapa de Riesgos'!$Y$21="Muy AAAta",'Mapa de Riesgos'!$AA$21="Moderado"),CONCATENATE("R",'Mapa de Riesgos'!$A$21),"")</f>
        <v/>
      </c>
      <c r="U11" s="102" t="str">
        <f ca="1">+IF(AND('Mapa de Riesgos'!$Y$34="Muy AAAta",'Mapa de Riesgos'!$AA$34="Moderado"),CONCATENATE("R",'Mapa de Riesgos'!$A$34),"")</f>
        <v/>
      </c>
      <c r="V11" s="102" t="e">
        <f>+IF(AND('Mapa de Riesgos'!#REF!="Muy AAAta",'Mapa de Riesgos'!#REF!="Moderado"),CONCATENATE("R",'Mapa de Riesgos'!#REF!),"")</f>
        <v>#REF!</v>
      </c>
      <c r="W11" s="102" t="str">
        <f ca="1">+IF(AND('Mapa de Riesgos'!$Y$61="Muy AAAta",'Mapa de Riesgos'!$AA$61="Moderado"),CONCATENATE("R",'Mapa de Riesgos'!$A$61),"")</f>
        <v/>
      </c>
      <c r="X11" s="102" t="str">
        <f>+IF(AND('Mapa de Riesgos'!$Y$82="Muy AAAta",'Mapa de Riesgos'!$AA$82="Moderado"),CONCATENATE("R",'Mapa de Riesgos'!$A$82),"")</f>
        <v/>
      </c>
      <c r="Y11" s="109" t="str">
        <f ca="1">+IF(AND('Mapa de Riesgos'!$Y$21="Muy AAAta",'Mapa de Riesgos'!$AA$21="Mayor"),CONCATENATE("R",'Mapa de Riesgos'!$A$21),"")</f>
        <v/>
      </c>
      <c r="Z11" s="102" t="str">
        <f ca="1">+IF(AND('Mapa de Riesgos'!$Y$34="Muy AAAta",'Mapa de Riesgos'!$AA$34="Mayor"),CONCATENATE("R",'Mapa de Riesgos'!$A$34),"")</f>
        <v/>
      </c>
      <c r="AA11" s="102" t="e">
        <f>+IF(AND('Mapa de Riesgos'!#REF!="Muy AAAta",'Mapa de Riesgos'!#REF!="Mayor"),CONCATENATE("R",'Mapa de Riesgos'!#REF!),"")</f>
        <v>#REF!</v>
      </c>
      <c r="AB11" s="102" t="str">
        <f ca="1">+IF(AND('Mapa de Riesgos'!$Y$61="Muy AAAta",'Mapa de Riesgos'!$AA$61="Mayor"),CONCATENATE("R",'Mapa de Riesgos'!$A$61),"")</f>
        <v/>
      </c>
      <c r="AC11" s="102" t="str">
        <f>+IF(AND('Mapa de Riesgos'!$Y$82="Muy AAAta",'Mapa de Riesgos'!$AA$82="Mayor"),CONCATENATE("R",'Mapa de Riesgos'!$A$82),"")</f>
        <v/>
      </c>
      <c r="AD11" s="133" t="str">
        <f ca="1">+IF(AND('Mapa de Riesgos'!$Y$21="Muy AAAta",'Mapa de Riesgos'!$AA$21="Catastrófico"),CONCATENATE("R",'Mapa de Riesgos'!$A$21),"")</f>
        <v/>
      </c>
      <c r="AE11" s="103" t="str">
        <f ca="1">+IF(AND('Mapa de Riesgos'!$Y$34="Muy AAAta",'Mapa de Riesgos'!$AA$34="Catastrófico"),CONCATENATE("R",'Mapa de Riesgos'!$A$34),"")</f>
        <v/>
      </c>
      <c r="AF11" s="103" t="e">
        <f>+IF(AND('Mapa de Riesgos'!#REF!="Muy AAAta",'Mapa de Riesgos'!#REF!="Catastrófico"),CONCATENATE("R",'Mapa de Riesgos'!#REF!),"")</f>
        <v>#REF!</v>
      </c>
      <c r="AG11" s="103" t="str">
        <f ca="1">+IF(AND('Mapa de Riesgos'!$Y$61="Muy AAAta",'Mapa de Riesgos'!$AA$61="Catastrófico"),CONCATENATE("R",'Mapa de Riesgos'!$A$61),"")</f>
        <v/>
      </c>
      <c r="AH11" s="129" t="str">
        <f>+IF(AND('Mapa de Riesgos'!$Y$82="Muy AAAta",'Mapa de Riesgos'!$AA$82="Catastrófico"),CONCATENATE("R",'Mapa de Riesgos'!$A$82),"")</f>
        <v/>
      </c>
      <c r="AI11" s="38"/>
      <c r="AJ11" s="305"/>
      <c r="AK11" s="306"/>
      <c r="AL11" s="306"/>
      <c r="AM11" s="306"/>
      <c r="AN11" s="306"/>
      <c r="AO11" s="307"/>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row>
    <row r="12" spans="1:94" ht="18.75" x14ac:dyDescent="0.3">
      <c r="A12" s="38"/>
      <c r="B12" s="294"/>
      <c r="C12" s="294"/>
      <c r="D12" s="295"/>
      <c r="E12" s="298"/>
      <c r="F12" s="299"/>
      <c r="G12" s="299"/>
      <c r="H12" s="299"/>
      <c r="I12" s="299"/>
      <c r="J12" s="109" t="str">
        <f ca="1">+IF(AND('Mapa de Riesgos'!$Y$23="Muy AAAta",'Mapa de Riesgos'!$AA$23="AAeve"),CONCATENATE("R",'Mapa de Riesgos'!$A$23),"")</f>
        <v/>
      </c>
      <c r="K12" s="102" t="str">
        <f ca="1">+IF(AND('Mapa de Riesgos'!$Y$36="Muy AAAta",'Mapa de Riesgos'!$AA$36="AAeve"),CONCATENATE("R",'Mapa de Riesgos'!$A$36),"")</f>
        <v/>
      </c>
      <c r="L12" s="102" t="str">
        <f ca="1">+IF(AND('Mapa de Riesgos'!$Y$48="Muy AAAta",'Mapa de Riesgos'!$AA$48="AAeve"),CONCATENATE("R",'Mapa de Riesgos'!$A$48),"")</f>
        <v/>
      </c>
      <c r="M12" s="102" t="str">
        <f ca="1">+IF(AND('Mapa de Riesgos'!$Y$63="Muy AAAta",'Mapa de Riesgos'!$AA$63="AAeve"),CONCATENATE("R",'Mapa de Riesgos'!$A$63),"")</f>
        <v/>
      </c>
      <c r="N12" s="102" t="str">
        <f>+IF(AND('Mapa de Riesgos'!$Y$88="Muy AAAta",'Mapa de Riesgos'!$AA$88="AAeve"),CONCATENATE("R",'Mapa de Riesgos'!$A$88),"")</f>
        <v/>
      </c>
      <c r="O12" s="109" t="str">
        <f ca="1">+IF(AND('Mapa de Riesgos'!$Y$23="Muy AAAta",'Mapa de Riesgos'!$AA$23="Menor"),CONCATENATE("R",'Mapa de Riesgos'!$A$23),"")</f>
        <v/>
      </c>
      <c r="P12" s="102" t="str">
        <f ca="1">+IF(AND('Mapa de Riesgos'!$Y$36="Muy AAAta",'Mapa de Riesgos'!$AA$36="Menor"),CONCATENATE("R",'Mapa de Riesgos'!$A$36),"")</f>
        <v/>
      </c>
      <c r="Q12" s="102" t="str">
        <f ca="1">+IF(AND('Mapa de Riesgos'!$Y$48="Muy AAAta",'Mapa de Riesgos'!$AA$48="Menor"),CONCATENATE("R",'Mapa de Riesgos'!$A$48),"")</f>
        <v/>
      </c>
      <c r="R12" s="102" t="str">
        <f ca="1">+IF(AND('Mapa de Riesgos'!$Y$63="Muy AAAta",'Mapa de Riesgos'!$AA$63="Menor"),CONCATENATE("R",'Mapa de Riesgos'!$A$63),"")</f>
        <v/>
      </c>
      <c r="S12" s="102" t="str">
        <f>+IF(AND('Mapa de Riesgos'!$Y$88="Muy AAAta",'Mapa de Riesgos'!$AA$88="Menor"),CONCATENATE("R",'Mapa de Riesgos'!$A$88),"")</f>
        <v/>
      </c>
      <c r="T12" s="109" t="str">
        <f ca="1">+IF(AND('Mapa de Riesgos'!$Y$23="Muy AAAta",'Mapa de Riesgos'!$AA$23="Moderado"),CONCATENATE("R",'Mapa de Riesgos'!$A$23),"")</f>
        <v/>
      </c>
      <c r="U12" s="102" t="str">
        <f ca="1">+IF(AND('Mapa de Riesgos'!$Y$36="Muy AAAta",'Mapa de Riesgos'!$AA$36="Moderado"),CONCATENATE("R",'Mapa de Riesgos'!$A$36),"")</f>
        <v/>
      </c>
      <c r="V12" s="102" t="str">
        <f ca="1">+IF(AND('Mapa de Riesgos'!$Y$48="Muy AAAta",'Mapa de Riesgos'!$AA$48="Moderado"),CONCATENATE("R",'Mapa de Riesgos'!$A$48),"")</f>
        <v/>
      </c>
      <c r="W12" s="102" t="str">
        <f ca="1">+IF(AND('Mapa de Riesgos'!$Y$63="Muy AAAta",'Mapa de Riesgos'!$AA$63="Moderado"),CONCATENATE("R",'Mapa de Riesgos'!$A$63),"")</f>
        <v/>
      </c>
      <c r="X12" s="102" t="str">
        <f>+IF(AND('Mapa de Riesgos'!$Y$88="Muy AAAta",'Mapa de Riesgos'!$AA$88="Moderado"),CONCATENATE("R",'Mapa de Riesgos'!$A$88),"")</f>
        <v/>
      </c>
      <c r="Y12" s="109" t="str">
        <f ca="1">+IF(AND('Mapa de Riesgos'!$Y$23="Muy AAAta",'Mapa de Riesgos'!$AA$23="Mayor"),CONCATENATE("R",'Mapa de Riesgos'!$A$23),"")</f>
        <v/>
      </c>
      <c r="Z12" s="102" t="str">
        <f ca="1">+IF(AND('Mapa de Riesgos'!$Y$36="Muy AAAta",'Mapa de Riesgos'!$AA$36="Mayor"),CONCATENATE("R",'Mapa de Riesgos'!$A$36),"")</f>
        <v/>
      </c>
      <c r="AA12" s="102" t="str">
        <f ca="1">+IF(AND('Mapa de Riesgos'!$Y$48="Muy AAAta",'Mapa de Riesgos'!$AA$48="Mayor"),CONCATENATE("R",'Mapa de Riesgos'!$A$48),"")</f>
        <v/>
      </c>
      <c r="AB12" s="102" t="str">
        <f ca="1">+IF(AND('Mapa de Riesgos'!$Y$63="Muy AAAta",'Mapa de Riesgos'!$AA$63="Mayor"),CONCATENATE("R",'Mapa de Riesgos'!$A$63),"")</f>
        <v/>
      </c>
      <c r="AC12" s="102" t="str">
        <f>+IF(AND('Mapa de Riesgos'!$Y$88="Muy AAAta",'Mapa de Riesgos'!$AA$88="Mayor"),CONCATENATE("R",'Mapa de Riesgos'!$A$88),"")</f>
        <v/>
      </c>
      <c r="AD12" s="133" t="str">
        <f ca="1">+IF(AND('Mapa de Riesgos'!$Y$23="Muy AAAta",'Mapa de Riesgos'!$AA$23="Catastrófico"),CONCATENATE("R",'Mapa de Riesgos'!$A$23),"")</f>
        <v/>
      </c>
      <c r="AE12" s="103" t="str">
        <f ca="1">+IF(AND('Mapa de Riesgos'!$Y$36="Muy AAAta",'Mapa de Riesgos'!$AA$36="Catastrófico"),CONCATENATE("R",'Mapa de Riesgos'!$A$36),"")</f>
        <v/>
      </c>
      <c r="AF12" s="103" t="str">
        <f ca="1">+IF(AND('Mapa de Riesgos'!$Y$48="Muy AAAta",'Mapa de Riesgos'!$AA$48="Catastrófico"),CONCATENATE("R",'Mapa de Riesgos'!$A$48),"")</f>
        <v/>
      </c>
      <c r="AG12" s="103" t="str">
        <f ca="1">+IF(AND('Mapa de Riesgos'!$Y$63="Muy AAAta",'Mapa de Riesgos'!$AA$63="Catastrófico"),CONCATENATE("R",'Mapa de Riesgos'!$A$63),"")</f>
        <v/>
      </c>
      <c r="AH12" s="129" t="str">
        <f>+IF(AND('Mapa de Riesgos'!$Y$88="Muy AAAta",'Mapa de Riesgos'!$AA$88="Catastrófico"),CONCATENATE("R",'Mapa de Riesgos'!$A$88),"")</f>
        <v/>
      </c>
      <c r="AI12" s="38"/>
      <c r="AJ12" s="305"/>
      <c r="AK12" s="306"/>
      <c r="AL12" s="306"/>
      <c r="AM12" s="306"/>
      <c r="AN12" s="306"/>
      <c r="AO12" s="307"/>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row>
    <row r="13" spans="1:94" ht="19.5" thickBot="1" x14ac:dyDescent="0.35">
      <c r="A13" s="38"/>
      <c r="B13" s="294"/>
      <c r="C13" s="294"/>
      <c r="D13" s="295"/>
      <c r="E13" s="300"/>
      <c r="F13" s="301"/>
      <c r="G13" s="301"/>
      <c r="H13" s="301"/>
      <c r="I13" s="301"/>
      <c r="J13" s="109" t="str">
        <f ca="1">+IF(AND('Mapa de Riesgos'!$Y$26="Muy AAAta",'Mapa de Riesgos'!$AA$26="AAeve"),CONCATENATE("R",'Mapa de Riesgos'!$A$26),"")</f>
        <v/>
      </c>
      <c r="K13" s="102" t="str">
        <f ca="1">+IF(AND('Mapa de Riesgos'!$Y$37="Muy AAAta",'Mapa de Riesgos'!$AA$37="AAeve"),CONCATENATE("R",'Mapa de Riesgos'!$A$37),"")</f>
        <v/>
      </c>
      <c r="L13" s="102" t="str">
        <f ca="1">+IF(AND('Mapa de Riesgos'!$Y$51="Muy AAAta",'Mapa de Riesgos'!$AA$51="AAeve"),CONCATENATE("R",'Mapa de Riesgos'!$A$51),"")</f>
        <v/>
      </c>
      <c r="M13" s="102" t="str">
        <f ca="1">+IF(AND('Mapa de Riesgos'!$Y$64="Muy AAAta",'Mapa de Riesgos'!$AA$64="AAeve"),CONCATENATE("R",'Mapa de Riesgos'!$A$64),"")</f>
        <v/>
      </c>
      <c r="N13" s="102" t="str">
        <f>+IF(AND('Mapa de Riesgos'!$Y$94="Muy AAAta",'Mapa de Riesgos'!$AA$94="AAeve"),CONCATENATE("R",'Mapa de Riesgos'!$A$94),"")</f>
        <v/>
      </c>
      <c r="O13" s="109" t="str">
        <f ca="1">+IF(AND('Mapa de Riesgos'!$Y$26="Muy AAAta",'Mapa de Riesgos'!$AA$26="Menor"),CONCATENATE("R",'Mapa de Riesgos'!$A$26),"")</f>
        <v/>
      </c>
      <c r="P13" s="102" t="str">
        <f ca="1">+IF(AND('Mapa de Riesgos'!$Y$37="Muy AAAta",'Mapa de Riesgos'!$AA$37="Menor"),CONCATENATE("R",'Mapa de Riesgos'!$A$37),"")</f>
        <v/>
      </c>
      <c r="Q13" s="102" t="str">
        <f ca="1">+IF(AND('Mapa de Riesgos'!$Y$51="Muy AAAta",'Mapa de Riesgos'!$AA$51="Menor"),CONCATENATE("R",'Mapa de Riesgos'!$A$51),"")</f>
        <v/>
      </c>
      <c r="R13" s="102" t="str">
        <f ca="1">+IF(AND('Mapa de Riesgos'!$Y$64="Muy AAAta",'Mapa de Riesgos'!$AA$64="Menor"),CONCATENATE("R",'Mapa de Riesgos'!$A$64),"")</f>
        <v/>
      </c>
      <c r="S13" s="102" t="str">
        <f>+IF(AND('Mapa de Riesgos'!$Y$94="Muy AAAta",'Mapa de Riesgos'!$AA$94="Menor"),CONCATENATE("R",'Mapa de Riesgos'!$A$94),"")</f>
        <v/>
      </c>
      <c r="T13" s="109" t="str">
        <f ca="1">+IF(AND('Mapa de Riesgos'!$Y$26="Muy AAAta",'Mapa de Riesgos'!$AA$26="Moderado"),CONCATENATE("R",'Mapa de Riesgos'!$A$26),"")</f>
        <v/>
      </c>
      <c r="U13" s="102" t="str">
        <f ca="1">+IF(AND('Mapa de Riesgos'!$Y$37="Muy AAAta",'Mapa de Riesgos'!$AA$37="Moderado"),CONCATENATE("R",'Mapa de Riesgos'!$A$37),"")</f>
        <v/>
      </c>
      <c r="V13" s="102" t="str">
        <f ca="1">+IF(AND('Mapa de Riesgos'!$Y$51="Muy AAAta",'Mapa de Riesgos'!$AA$51="Moderado"),CONCATENATE("R",'Mapa de Riesgos'!$A$51),"")</f>
        <v/>
      </c>
      <c r="W13" s="102" t="str">
        <f ca="1">+IF(AND('Mapa de Riesgos'!$Y$64="Muy AAAta",'Mapa de Riesgos'!$AA$64="Moderado"),CONCATENATE("R",'Mapa de Riesgos'!$A$64),"")</f>
        <v/>
      </c>
      <c r="X13" s="102" t="str">
        <f>+IF(AND('Mapa de Riesgos'!$Y$94="Muy AAAta",'Mapa de Riesgos'!$AA$94="Moderado"),CONCATENATE("R",'Mapa de Riesgos'!$A$94),"")</f>
        <v/>
      </c>
      <c r="Y13" s="109" t="str">
        <f ca="1">+IF(AND('Mapa de Riesgos'!$Y$26="Muy AAAta",'Mapa de Riesgos'!$AA$26="Mayor"),CONCATENATE("R",'Mapa de Riesgos'!$A$26),"")</f>
        <v/>
      </c>
      <c r="Z13" s="102" t="str">
        <f ca="1">+IF(AND('Mapa de Riesgos'!$Y$37="Muy AAAta",'Mapa de Riesgos'!$AA$37="Mayor"),CONCATENATE("R",'Mapa de Riesgos'!$A$37),"")</f>
        <v/>
      </c>
      <c r="AA13" s="102" t="str">
        <f ca="1">+IF(AND('Mapa de Riesgos'!$Y$51="Muy AAAta",'Mapa de Riesgos'!$AA$51="Mayor"),CONCATENATE("R",'Mapa de Riesgos'!$A$51),"")</f>
        <v/>
      </c>
      <c r="AB13" s="102" t="str">
        <f ca="1">+IF(AND('Mapa de Riesgos'!$Y$64="Muy AAAta",'Mapa de Riesgos'!$AA$64="Mayor"),CONCATENATE("R",'Mapa de Riesgos'!$A$64),"")</f>
        <v/>
      </c>
      <c r="AC13" s="102" t="str">
        <f>+IF(AND('Mapa de Riesgos'!$Y$94="Muy AAAta",'Mapa de Riesgos'!$AA$94="Mayor"),CONCATENATE("R",'Mapa de Riesgos'!$A$94),"")</f>
        <v/>
      </c>
      <c r="AD13" s="133" t="str">
        <f ca="1">+IF(AND('Mapa de Riesgos'!$Y$26="Muy AAAta",'Mapa de Riesgos'!$AA$26="Catastrófico"),CONCATENATE("R",'Mapa de Riesgos'!$A$26),"")</f>
        <v/>
      </c>
      <c r="AE13" s="103" t="str">
        <f ca="1">+IF(AND('Mapa de Riesgos'!$Y$37="Muy AAAta",'Mapa de Riesgos'!$AA$37="Catastrófico"),CONCATENATE("R",'Mapa de Riesgos'!$A$37),"")</f>
        <v/>
      </c>
      <c r="AF13" s="103" t="str">
        <f ca="1">+IF(AND('Mapa de Riesgos'!$Y$51="Muy AAAta",'Mapa de Riesgos'!$AA$51="Catastrófico"),CONCATENATE("R",'Mapa de Riesgos'!$A$51),"")</f>
        <v/>
      </c>
      <c r="AG13" s="103" t="str">
        <f ca="1">+IF(AND('Mapa de Riesgos'!$Y$64="Muy AAAta",'Mapa de Riesgos'!$AA$64="Catastrófico"),CONCATENATE("R",'Mapa de Riesgos'!$A$64),"")</f>
        <v/>
      </c>
      <c r="AH13" s="129" t="str">
        <f>+IF(AND('Mapa de Riesgos'!$Y$94="Muy AAAta",'Mapa de Riesgos'!$AA$94="Catastrófico"),CONCATENATE("R",'Mapa de Riesgos'!$A$94),"")</f>
        <v/>
      </c>
      <c r="AI13" s="38"/>
      <c r="AJ13" s="308"/>
      <c r="AK13" s="309"/>
      <c r="AL13" s="309"/>
      <c r="AM13" s="309"/>
      <c r="AN13" s="309"/>
      <c r="AO13" s="310"/>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row>
    <row r="14" spans="1:94" ht="18.75" x14ac:dyDescent="0.3">
      <c r="A14" s="38"/>
      <c r="B14" s="294"/>
      <c r="C14" s="294"/>
      <c r="D14" s="295"/>
      <c r="E14" s="296" t="s">
        <v>83</v>
      </c>
      <c r="F14" s="297"/>
      <c r="G14" s="297"/>
      <c r="H14" s="297"/>
      <c r="I14" s="297"/>
      <c r="J14" s="114" t="str">
        <f ca="1">+IF(AND('Mapa de Riesgos'!$Y$7="AAAta",'Mapa de Riesgos'!$AA$7="AAeve"),CONCATENATE("R",'Mapa de Riesgos'!$A$7),"")</f>
        <v/>
      </c>
      <c r="K14" s="115" t="str">
        <f ca="1">+IF(AND('Mapa de Riesgos'!$Y$27="AAAta",'Mapa de Riesgos'!$AA$27="AAeve"),CONCATENATE("R",'Mapa de Riesgos'!$A$27),"")</f>
        <v/>
      </c>
      <c r="L14" s="115" t="str">
        <f ca="1">+IF(AND('Mapa de Riesgos'!$Y$39="AAAta",'Mapa de Riesgos'!$AA$39="AAeve"),CONCATENATE("R",'Mapa de Riesgos'!$A$39),"")</f>
        <v/>
      </c>
      <c r="M14" s="115" t="str">
        <f ca="1">+IF(AND('Mapa de Riesgos'!$Y$53="AAAta",'Mapa de Riesgos'!$AA$53="AAeve"),CONCATENATE("R",'Mapa de Riesgos'!$A$53),"")</f>
        <v/>
      </c>
      <c r="N14" s="115" t="str">
        <f ca="1">+IF(AND('Mapa de Riesgos'!$Y$66="AAAta",'Mapa de Riesgos'!$AA$66="AAeve"),CONCATENATE("R",'Mapa de Riesgos'!$A$66),"")</f>
        <v/>
      </c>
      <c r="O14" s="114" t="str">
        <f ca="1">+IF(AND('Mapa de Riesgos'!$Y$7="AAAta",'Mapa de Riesgos'!$AA$7="Menor"),CONCATENATE("R",'Mapa de Riesgos'!$A$7),"")</f>
        <v/>
      </c>
      <c r="P14" s="115" t="str">
        <f ca="1">+IF(AND('Mapa de Riesgos'!$Y$27="AAAta",'Mapa de Riesgos'!$AA$27="Menor"),CONCATENATE("R",'Mapa de Riesgos'!$A$27),"")</f>
        <v/>
      </c>
      <c r="Q14" s="115" t="str">
        <f ca="1">+IF(AND('Mapa de Riesgos'!$Y$39="AAAta",'Mapa de Riesgos'!$AA$39="Menor"),CONCATENATE("R",'Mapa de Riesgos'!$A$39),"")</f>
        <v/>
      </c>
      <c r="R14" s="115" t="str">
        <f ca="1">+IF(AND('Mapa de Riesgos'!$Y$53="AAAta",'Mapa de Riesgos'!$AA$53="Menor"),CONCATENATE("R",'Mapa de Riesgos'!$A$53),"")</f>
        <v/>
      </c>
      <c r="S14" s="115" t="str">
        <f ca="1">+IF(AND('Mapa de Riesgos'!$Y$66="AAAta",'Mapa de Riesgos'!$AA$66="Menor"),CONCATENATE("R",'Mapa de Riesgos'!$A$66),"")</f>
        <v/>
      </c>
      <c r="T14" s="106" t="str">
        <f ca="1">+IF(AND('Mapa de Riesgos'!$Y$7="AAAta",'Mapa de Riesgos'!$AA$7="Moderado"),CONCATENATE("R",'Mapa de Riesgos'!$A$7),"")</f>
        <v/>
      </c>
      <c r="U14" s="107" t="str">
        <f ca="1">+IF(AND('Mapa de Riesgos'!$Y$27="AAAta",'Mapa de Riesgos'!$AA$27="Moderado"),CONCATENATE("R",'Mapa de Riesgos'!$A$27),"")</f>
        <v/>
      </c>
      <c r="V14" s="107" t="str">
        <f ca="1">+IF(AND('Mapa de Riesgos'!$Y$39="AAAta",'Mapa de Riesgos'!$AA$39="Moderado"),CONCATENATE("R",'Mapa de Riesgos'!$A$39),"")</f>
        <v/>
      </c>
      <c r="W14" s="107" t="str">
        <f ca="1">+IF(AND('Mapa de Riesgos'!$Y$53="AAAta",'Mapa de Riesgos'!$AA$53="Moderado"),CONCATENATE("R",'Mapa de Riesgos'!$A$53),"")</f>
        <v/>
      </c>
      <c r="X14" s="107" t="str">
        <f ca="1">+IF(AND('Mapa de Riesgos'!$Y$66="AAAta",'Mapa de Riesgos'!$AA$66="Moderado"),CONCATENATE("R",'Mapa de Riesgos'!$A$66),"")</f>
        <v/>
      </c>
      <c r="Y14" s="106" t="str">
        <f ca="1">+IF(AND('Mapa de Riesgos'!$Y$7="AAAta",'Mapa de Riesgos'!$AA$7="Mayor"),CONCATENATE("R",'Mapa de Riesgos'!$A$7),"")</f>
        <v/>
      </c>
      <c r="Z14" s="107" t="str">
        <f ca="1">+IF(AND('Mapa de Riesgos'!$Y$27="AAAta",'Mapa de Riesgos'!$AA$27="Mayor"),CONCATENATE("R",'Mapa de Riesgos'!$A$27),"")</f>
        <v/>
      </c>
      <c r="AA14" s="107" t="str">
        <f ca="1">+IF(AND('Mapa de Riesgos'!$Y$39="AAAta",'Mapa de Riesgos'!$AA$39="Mayor"),CONCATENATE("R",'Mapa de Riesgos'!$A$39),"")</f>
        <v/>
      </c>
      <c r="AB14" s="107" t="str">
        <f ca="1">+IF(AND('Mapa de Riesgos'!$Y$53="AAAta",'Mapa de Riesgos'!$AA$53="Mayor"),CONCATENATE("R",'Mapa de Riesgos'!$A$53),"")</f>
        <v/>
      </c>
      <c r="AC14" s="107" t="str">
        <f ca="1">+IF(AND('Mapa de Riesgos'!$Y$66="AAAta",'Mapa de Riesgos'!$AA$66="Mayor"),CONCATENATE("R",'Mapa de Riesgos'!$A$66),"")</f>
        <v/>
      </c>
      <c r="AD14" s="132" t="str">
        <f ca="1">+IF(AND('Mapa de Riesgos'!$Y$7="AAAta",'Mapa de Riesgos'!$AA$7="Catastrófico"),CONCATENATE("R",'Mapa de Riesgos'!$A$7),"")</f>
        <v/>
      </c>
      <c r="AE14" s="127" t="str">
        <f ca="1">+IF(AND('Mapa de Riesgos'!$Y$27="AAAta",'Mapa de Riesgos'!$AA$27="Catastrófico"),CONCATENATE("R",'Mapa de Riesgos'!$A$27),"")</f>
        <v/>
      </c>
      <c r="AF14" s="127" t="str">
        <f ca="1">+IF(AND('Mapa de Riesgos'!$Y$39="AAAta",'Mapa de Riesgos'!$AA$39="Catastrófico"),CONCATENATE("R",'Mapa de Riesgos'!$A$39),"")</f>
        <v/>
      </c>
      <c r="AG14" s="127" t="str">
        <f ca="1">+IF(AND('Mapa de Riesgos'!$Y$53="AAAta",'Mapa de Riesgos'!$AA$53="Catastrófico"),CONCATENATE("R",'Mapa de Riesgos'!$A$53),"")</f>
        <v/>
      </c>
      <c r="AH14" s="128" t="str">
        <f ca="1">+IF(AND('Mapa de Riesgos'!$Y$66="AAAta",'Mapa de Riesgos'!$AA$66="Catastrófico"),CONCATENATE("R",'Mapa de Riesgos'!$A$66),"")</f>
        <v/>
      </c>
      <c r="AI14" s="38"/>
      <c r="AJ14" s="311" t="s">
        <v>84</v>
      </c>
      <c r="AK14" s="312"/>
      <c r="AL14" s="312"/>
      <c r="AM14" s="312"/>
      <c r="AN14" s="312"/>
      <c r="AO14" s="313"/>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row>
    <row r="15" spans="1:94" ht="18.75" x14ac:dyDescent="0.3">
      <c r="A15" s="38"/>
      <c r="B15" s="294"/>
      <c r="C15" s="294"/>
      <c r="D15" s="295"/>
      <c r="E15" s="298"/>
      <c r="F15" s="299"/>
      <c r="G15" s="299"/>
      <c r="H15" s="299"/>
      <c r="I15" s="299"/>
      <c r="J15" s="117" t="str">
        <f ca="1">+IF(AND('Mapa de Riesgos'!$Y$9="AAAta",'Mapa de Riesgos'!$AA$9="AAeve"),CONCATENATE("R",'Mapa de Riesgos'!$A$9),"")</f>
        <v/>
      </c>
      <c r="K15" s="104" t="str">
        <f ca="1">+IF(AND('Mapa de Riesgos'!$Y$28="AAAta",'Mapa de Riesgos'!$AA$28="AAeve"),CONCATENATE("R",'Mapa de Riesgos'!$A$28),"")</f>
        <v/>
      </c>
      <c r="L15" s="104" t="str">
        <f ca="1">+IF(AND('Mapa de Riesgos'!$Y$40="AAAta",'Mapa de Riesgos'!$AA$40="AAeve"),CONCATENATE("R",'Mapa de Riesgos'!$A$40),"")</f>
        <v/>
      </c>
      <c r="M15" s="104" t="str">
        <f ca="1">+IF(AND('Mapa de Riesgos'!$Y$56="AAAta",'Mapa de Riesgos'!$AA$56="AAeve"),CONCATENATE("R",'Mapa de Riesgos'!$A$56),"")</f>
        <v/>
      </c>
      <c r="N15" s="104" t="str">
        <f ca="1">+IF(AND('Mapa de Riesgos'!$Y$68="AAAta",'Mapa de Riesgos'!$AA$68="AAeve"),CONCATENATE("R",'Mapa de Riesgos'!$A$68),"")</f>
        <v/>
      </c>
      <c r="O15" s="117" t="str">
        <f ca="1">+IF(AND('Mapa de Riesgos'!$Y$9="AAAta",'Mapa de Riesgos'!$AA$9="Menor"),CONCATENATE("R",'Mapa de Riesgos'!$A$9),"")</f>
        <v/>
      </c>
      <c r="P15" s="104" t="str">
        <f ca="1">+IF(AND('Mapa de Riesgos'!$Y$28="AAAta",'Mapa de Riesgos'!$AA$28="Menor"),CONCATENATE("R",'Mapa de Riesgos'!$A$28),"")</f>
        <v/>
      </c>
      <c r="Q15" s="104" t="str">
        <f ca="1">+IF(AND('Mapa de Riesgos'!$Y$40="AAAta",'Mapa de Riesgos'!$AA$40="Menor"),CONCATENATE("R",'Mapa de Riesgos'!$A$40),"")</f>
        <v/>
      </c>
      <c r="R15" s="104" t="str">
        <f ca="1">+IF(AND('Mapa de Riesgos'!$Y$56="AAAta",'Mapa de Riesgos'!$AA$56="Menor"),CONCATENATE("R",'Mapa de Riesgos'!$A$56),"")</f>
        <v/>
      </c>
      <c r="S15" s="104" t="str">
        <f ca="1">+IF(AND('Mapa de Riesgos'!$Y$68="AAAta",'Mapa de Riesgos'!$AA$68="Menor"),CONCATENATE("R",'Mapa de Riesgos'!$A$68),"")</f>
        <v/>
      </c>
      <c r="T15" s="109" t="str">
        <f ca="1">+IF(AND('Mapa de Riesgos'!$Y$9="AAAta",'Mapa de Riesgos'!$AA$9="Moderado"),CONCATENATE("R",'Mapa de Riesgos'!$A$9),"")</f>
        <v/>
      </c>
      <c r="U15" s="102" t="str">
        <f ca="1">+IF(AND('Mapa de Riesgos'!$Y$28="AAAta",'Mapa de Riesgos'!$AA$28="Moderado"),CONCATENATE("R",'Mapa de Riesgos'!$A$28),"")</f>
        <v/>
      </c>
      <c r="V15" s="102" t="str">
        <f ca="1">+IF(AND('Mapa de Riesgos'!$Y$40="AAAta",'Mapa de Riesgos'!$AA$40="Moderado"),CONCATENATE("R",'Mapa de Riesgos'!$A$40),"")</f>
        <v/>
      </c>
      <c r="W15" s="102" t="str">
        <f ca="1">+IF(AND('Mapa de Riesgos'!$Y$56="AAAta",'Mapa de Riesgos'!$AA$56="Moderado"),CONCATENATE("R",'Mapa de Riesgos'!$A$56),"")</f>
        <v/>
      </c>
      <c r="X15" s="102" t="str">
        <f ca="1">+IF(AND('Mapa de Riesgos'!$Y$68="AAAta",'Mapa de Riesgos'!$AA$68="Moderado"),CONCATENATE("R",'Mapa de Riesgos'!$A$68),"")</f>
        <v/>
      </c>
      <c r="Y15" s="109" t="str">
        <f ca="1">+IF(AND('Mapa de Riesgos'!$Y$9="AAAta",'Mapa de Riesgos'!$AA$9="Mayor"),CONCATENATE("R",'Mapa de Riesgos'!$A$9),"")</f>
        <v/>
      </c>
      <c r="Z15" s="102" t="str">
        <f ca="1">+IF(AND('Mapa de Riesgos'!$Y$28="AAAta",'Mapa de Riesgos'!$AA$28="Mayor"),CONCATENATE("R",'Mapa de Riesgos'!$A$28),"")</f>
        <v/>
      </c>
      <c r="AA15" s="102" t="str">
        <f ca="1">+IF(AND('Mapa de Riesgos'!$Y$40="AAAta",'Mapa de Riesgos'!$AA$40="Mayor"),CONCATENATE("R",'Mapa de Riesgos'!$A$40),"")</f>
        <v/>
      </c>
      <c r="AB15" s="102" t="str">
        <f ca="1">+IF(AND('Mapa de Riesgos'!$Y$56="AAAta",'Mapa de Riesgos'!$AA$56="Mayor"),CONCATENATE("R",'Mapa de Riesgos'!$A$56),"")</f>
        <v/>
      </c>
      <c r="AC15" s="102" t="str">
        <f ca="1">+IF(AND('Mapa de Riesgos'!$Y$68="AAAta",'Mapa de Riesgos'!$AA$68="Mayor"),CONCATENATE("R",'Mapa de Riesgos'!$A$68),"")</f>
        <v/>
      </c>
      <c r="AD15" s="133" t="str">
        <f ca="1">+IF(AND('Mapa de Riesgos'!$Y$9="AAAta",'Mapa de Riesgos'!$AA$9="Catastrófico"),CONCATENATE("R",'Mapa de Riesgos'!$A$9),"")</f>
        <v/>
      </c>
      <c r="AE15" s="103" t="str">
        <f ca="1">+IF(AND('Mapa de Riesgos'!$Y$28="AAAta",'Mapa de Riesgos'!$AA$28="Catastrófico"),CONCATENATE("R",'Mapa de Riesgos'!$A$28),"")</f>
        <v/>
      </c>
      <c r="AF15" s="103" t="str">
        <f ca="1">+IF(AND('Mapa de Riesgos'!$Y$40="AAAta",'Mapa de Riesgos'!$AA$40="Catastrófico"),CONCATENATE("R",'Mapa de Riesgos'!$A$40),"")</f>
        <v/>
      </c>
      <c r="AG15" s="103" t="str">
        <f ca="1">+IF(AND('Mapa de Riesgos'!$Y$56="AAAta",'Mapa de Riesgos'!$AA$56="Catastrófico"),CONCATENATE("R",'Mapa de Riesgos'!$A$56),"")</f>
        <v/>
      </c>
      <c r="AH15" s="129" t="str">
        <f ca="1">+IF(AND('Mapa de Riesgos'!$Y$68="AAAta",'Mapa de Riesgos'!$AA$68="Catastrófico"),CONCATENATE("R",'Mapa de Riesgos'!$A$68),"")</f>
        <v/>
      </c>
      <c r="AI15" s="38"/>
      <c r="AJ15" s="314"/>
      <c r="AK15" s="315"/>
      <c r="AL15" s="315"/>
      <c r="AM15" s="315"/>
      <c r="AN15" s="315"/>
      <c r="AO15" s="316"/>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row>
    <row r="16" spans="1:94" ht="18.75" x14ac:dyDescent="0.3">
      <c r="A16" s="38"/>
      <c r="B16" s="294"/>
      <c r="C16" s="294"/>
      <c r="D16" s="295"/>
      <c r="E16" s="298"/>
      <c r="F16" s="299"/>
      <c r="G16" s="299"/>
      <c r="H16" s="299"/>
      <c r="I16" s="299"/>
      <c r="J16" s="117" t="str">
        <f ca="1">+IF(AND('Mapa de Riesgos'!$Y$15="AAAta",'Mapa de Riesgos'!$AA$15="AAeve"),CONCATENATE("R",'Mapa de Riesgos'!$A$15),"")</f>
        <v/>
      </c>
      <c r="K16" s="104" t="str">
        <f ca="1">+IF(AND('Mapa de Riesgos'!$Y$29="AAAta",'Mapa de Riesgos'!$AA$29="AAeve"),CONCATENATE("R",'Mapa de Riesgos'!$A$29),"")</f>
        <v/>
      </c>
      <c r="L16" s="104" t="str">
        <f ca="1">+IF(AND('Mapa de Riesgos'!$Y$42="AAAta",'Mapa de Riesgos'!$AA$42="AAeve"),CONCATENATE("R",'Mapa de Riesgos'!$A$42),"")</f>
        <v/>
      </c>
      <c r="M16" s="104" t="str">
        <f ca="1">+IF(AND('Mapa de Riesgos'!$Y$57="AAAta",'Mapa de Riesgos'!$AA$57="AAeve"),CONCATENATE("R",'Mapa de Riesgos'!$A$57),"")</f>
        <v/>
      </c>
      <c r="N16" s="104" t="str">
        <f ca="1">+IF(AND('Mapa de Riesgos'!$Y$70="AAAta",'Mapa de Riesgos'!$AA$70="AAeve"),CONCATENATE("R",'Mapa de Riesgos'!$A$70),"")</f>
        <v/>
      </c>
      <c r="O16" s="117" t="str">
        <f ca="1">+IF(AND('Mapa de Riesgos'!$Y$15="AAAta",'Mapa de Riesgos'!$AA$15="Menor"),CONCATENATE("R",'Mapa de Riesgos'!$A$15),"")</f>
        <v/>
      </c>
      <c r="P16" s="104" t="str">
        <f ca="1">+IF(AND('Mapa de Riesgos'!$Y$29="AAAta",'Mapa de Riesgos'!$AA$29="Menor"),CONCATENATE("R",'Mapa de Riesgos'!$A$29),"")</f>
        <v/>
      </c>
      <c r="Q16" s="104" t="str">
        <f ca="1">+IF(AND('Mapa de Riesgos'!$Y$42="AAAta",'Mapa de Riesgos'!$AA$42="Menor"),CONCATENATE("R",'Mapa de Riesgos'!$A$42),"")</f>
        <v/>
      </c>
      <c r="R16" s="104" t="str">
        <f ca="1">+IF(AND('Mapa de Riesgos'!$Y$57="AAAta",'Mapa de Riesgos'!$AA$57="Menor"),CONCATENATE("R",'Mapa de Riesgos'!$A$57),"")</f>
        <v/>
      </c>
      <c r="S16" s="104" t="str">
        <f ca="1">+IF(AND('Mapa de Riesgos'!$Y$70="AAAta",'Mapa de Riesgos'!$AA$70="Menor"),CONCATENATE("R",'Mapa de Riesgos'!$A$70),"")</f>
        <v/>
      </c>
      <c r="T16" s="109" t="str">
        <f ca="1">+IF(AND('Mapa de Riesgos'!$Y$15="AAAta",'Mapa de Riesgos'!$AA$15="Moderado"),CONCATENATE("R",'Mapa de Riesgos'!$A$15),"")</f>
        <v/>
      </c>
      <c r="U16" s="102" t="str">
        <f ca="1">+IF(AND('Mapa de Riesgos'!$Y$29="AAAta",'Mapa de Riesgos'!$AA$29="Moderado"),CONCATENATE("R",'Mapa de Riesgos'!$A$29),"")</f>
        <v/>
      </c>
      <c r="V16" s="102" t="str">
        <f ca="1">+IF(AND('Mapa de Riesgos'!$Y$42="AAAta",'Mapa de Riesgos'!$AA$42="Moderado"),CONCATENATE("R",'Mapa de Riesgos'!$A$42),"")</f>
        <v/>
      </c>
      <c r="W16" s="102" t="str">
        <f ca="1">+IF(AND('Mapa de Riesgos'!$Y$57="AAAta",'Mapa de Riesgos'!$AA$57="Moderado"),CONCATENATE("R",'Mapa de Riesgos'!$A$57),"")</f>
        <v/>
      </c>
      <c r="X16" s="102" t="str">
        <f ca="1">+IF(AND('Mapa de Riesgos'!$Y$70="AAAta",'Mapa de Riesgos'!$AA$70="Moderado"),CONCATENATE("R",'Mapa de Riesgos'!$A$70),"")</f>
        <v/>
      </c>
      <c r="Y16" s="109" t="str">
        <f ca="1">+IF(AND('Mapa de Riesgos'!$Y$15="AAAta",'Mapa de Riesgos'!$AA$15="Mayor"),CONCATENATE("R",'Mapa de Riesgos'!$A$15),"")</f>
        <v/>
      </c>
      <c r="Z16" s="102" t="str">
        <f ca="1">+IF(AND('Mapa de Riesgos'!$Y$29="AAAta",'Mapa de Riesgos'!$AA$29="Mayor"),CONCATENATE("R",'Mapa de Riesgos'!$A$29),"")</f>
        <v/>
      </c>
      <c r="AA16" s="102" t="str">
        <f ca="1">+IF(AND('Mapa de Riesgos'!$Y$42="AAAta",'Mapa de Riesgos'!$AA$42="Mayor"),CONCATENATE("R",'Mapa de Riesgos'!$A$42),"")</f>
        <v/>
      </c>
      <c r="AB16" s="102" t="str">
        <f ca="1">+IF(AND('Mapa de Riesgos'!$Y$57="AAAta",'Mapa de Riesgos'!$AA$57="Mayor"),CONCATENATE("R",'Mapa de Riesgos'!$A$57),"")</f>
        <v/>
      </c>
      <c r="AC16" s="102" t="str">
        <f ca="1">+IF(AND('Mapa de Riesgos'!$Y$70="AAAta",'Mapa de Riesgos'!$AA$70="Mayor"),CONCATENATE("R",'Mapa de Riesgos'!$A$70),"")</f>
        <v/>
      </c>
      <c r="AD16" s="133" t="str">
        <f ca="1">+IF(AND('Mapa de Riesgos'!$Y$15="AAAta",'Mapa de Riesgos'!$AA$15="Catastrófico"),CONCATENATE("R",'Mapa de Riesgos'!$A$15),"")</f>
        <v/>
      </c>
      <c r="AE16" s="103" t="str">
        <f ca="1">+IF(AND('Mapa de Riesgos'!$Y$29="AAAta",'Mapa de Riesgos'!$AA$29="Catastrófico"),CONCATENATE("R",'Mapa de Riesgos'!$A$29),"")</f>
        <v/>
      </c>
      <c r="AF16" s="103" t="str">
        <f ca="1">+IF(AND('Mapa de Riesgos'!$Y$42="AAAta",'Mapa de Riesgos'!$AA$42="Catastrófico"),CONCATENATE("R",'Mapa de Riesgos'!$A$42),"")</f>
        <v/>
      </c>
      <c r="AG16" s="103" t="str">
        <f ca="1">+IF(AND('Mapa de Riesgos'!$Y$57="AAAta",'Mapa de Riesgos'!$AA$57="Catastrófico"),CONCATENATE("R",'Mapa de Riesgos'!$A$57),"")</f>
        <v/>
      </c>
      <c r="AH16" s="129" t="str">
        <f ca="1">+IF(AND('Mapa de Riesgos'!$Y$70="AAAta",'Mapa de Riesgos'!$AA$70="Catastrófico"),CONCATENATE("R",'Mapa de Riesgos'!$A$70),"")</f>
        <v/>
      </c>
      <c r="AI16" s="38"/>
      <c r="AJ16" s="314"/>
      <c r="AK16" s="315"/>
      <c r="AL16" s="315"/>
      <c r="AM16" s="315"/>
      <c r="AN16" s="315"/>
      <c r="AO16" s="316"/>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row>
    <row r="17" spans="1:75" ht="18.75" x14ac:dyDescent="0.3">
      <c r="A17" s="38"/>
      <c r="B17" s="294"/>
      <c r="C17" s="294"/>
      <c r="D17" s="295"/>
      <c r="E17" s="298"/>
      <c r="F17" s="299"/>
      <c r="G17" s="299"/>
      <c r="H17" s="299"/>
      <c r="I17" s="299"/>
      <c r="J17" s="117" t="str">
        <f ca="1">+IF(AND('Mapa de Riesgos'!$Y$17="AAAta",'Mapa de Riesgos'!$AA$17="AAeve"),CONCATENATE("R",'Mapa de Riesgos'!$A$17),"")</f>
        <v/>
      </c>
      <c r="K17" s="104" t="str">
        <f ca="1">+IF(AND('Mapa de Riesgos'!$Y$30="AAAta",'Mapa de Riesgos'!$AA$30="AAeve"),CONCATENATE("R",'Mapa de Riesgos'!$A$30),"")</f>
        <v/>
      </c>
      <c r="L17" s="104" t="str">
        <f ca="1">+IF(AND('Mapa de Riesgos'!$Y$44="AAAta",'Mapa de Riesgos'!$AA$44="AAeve"),CONCATENATE("R",'Mapa de Riesgos'!$A$44),"")</f>
        <v/>
      </c>
      <c r="M17" s="104" t="str">
        <f ca="1">+IF(AND('Mapa de Riesgos'!$Y$58="AAAta",'Mapa de Riesgos'!$AA$58="AAeve"),CONCATENATE("R",'Mapa de Riesgos'!$A$58),"")</f>
        <v/>
      </c>
      <c r="N17" s="104" t="str">
        <f ca="1">+IF(AND('Mapa de Riesgos'!$Y$72="AAAta",'Mapa de Riesgos'!$AA$72="AAeve"),CONCATENATE("R",'Mapa de Riesgos'!$A$72),"")</f>
        <v/>
      </c>
      <c r="O17" s="117" t="str">
        <f ca="1">+IF(AND('Mapa de Riesgos'!$Y$17="AAAta",'Mapa de Riesgos'!$AA$17="Menor"),CONCATENATE("R",'Mapa de Riesgos'!$A$17),"")</f>
        <v/>
      </c>
      <c r="P17" s="104" t="str">
        <f ca="1">+IF(AND('Mapa de Riesgos'!$Y$30="AAAta",'Mapa de Riesgos'!$AA$30="Menor"),CONCATENATE("R",'Mapa de Riesgos'!$A$30),"")</f>
        <v/>
      </c>
      <c r="Q17" s="104" t="str">
        <f ca="1">+IF(AND('Mapa de Riesgos'!$Y$44="AAAta",'Mapa de Riesgos'!$AA$44="Menor"),CONCATENATE("R",'Mapa de Riesgos'!$A$44),"")</f>
        <v/>
      </c>
      <c r="R17" s="104" t="str">
        <f ca="1">+IF(AND('Mapa de Riesgos'!$Y$58="AAAta",'Mapa de Riesgos'!$AA$58="Menor"),CONCATENATE("R",'Mapa de Riesgos'!$A$58),"")</f>
        <v/>
      </c>
      <c r="S17" s="104" t="str">
        <f ca="1">+IF(AND('Mapa de Riesgos'!$Y$72="AAAta",'Mapa de Riesgos'!$AA$72="Menor"),CONCATENATE("R",'Mapa de Riesgos'!$A$72),"")</f>
        <v/>
      </c>
      <c r="T17" s="109" t="str">
        <f ca="1">+IF(AND('Mapa de Riesgos'!$Y$17="AAAta",'Mapa de Riesgos'!$AA$17="Moderado"),CONCATENATE("R",'Mapa de Riesgos'!$A$17),"")</f>
        <v/>
      </c>
      <c r="U17" s="102" t="str">
        <f ca="1">+IF(AND('Mapa de Riesgos'!$Y$30="AAAta",'Mapa de Riesgos'!$AA$30="Moderado"),CONCATENATE("R",'Mapa de Riesgos'!$A$30),"")</f>
        <v/>
      </c>
      <c r="V17" s="102" t="str">
        <f ca="1">+IF(AND('Mapa de Riesgos'!$Y$44="AAAta",'Mapa de Riesgos'!$AA$44="Moderado"),CONCATENATE("R",'Mapa de Riesgos'!$A$44),"")</f>
        <v/>
      </c>
      <c r="W17" s="102" t="str">
        <f ca="1">+IF(AND('Mapa de Riesgos'!$Y$58="AAAta",'Mapa de Riesgos'!$AA$58="Moderado"),CONCATENATE("R",'Mapa de Riesgos'!$A$58),"")</f>
        <v/>
      </c>
      <c r="X17" s="102" t="str">
        <f ca="1">+IF(AND('Mapa de Riesgos'!$Y$72="AAAta",'Mapa de Riesgos'!$AA$72="Moderado"),CONCATENATE("R",'Mapa de Riesgos'!$A$72),"")</f>
        <v/>
      </c>
      <c r="Y17" s="109" t="str">
        <f ca="1">+IF(AND('Mapa de Riesgos'!$Y$17="AAAta",'Mapa de Riesgos'!$AA$17="Mayor"),CONCATENATE("R",'Mapa de Riesgos'!$A$17),"")</f>
        <v/>
      </c>
      <c r="Z17" s="102" t="str">
        <f ca="1">+IF(AND('Mapa de Riesgos'!$Y$30="AAAta",'Mapa de Riesgos'!$AA$30="Mayor"),CONCATENATE("R",'Mapa de Riesgos'!$A$30),"")</f>
        <v/>
      </c>
      <c r="AA17" s="102" t="str">
        <f ca="1">+IF(AND('Mapa de Riesgos'!$Y$44="AAAta",'Mapa de Riesgos'!$AA$44="Mayor"),CONCATENATE("R",'Mapa de Riesgos'!$A$44),"")</f>
        <v/>
      </c>
      <c r="AB17" s="102" t="str">
        <f ca="1">+IF(AND('Mapa de Riesgos'!$Y$58="AAAta",'Mapa de Riesgos'!$AA$58="Mayor"),CONCATENATE("R",'Mapa de Riesgos'!$A$58),"")</f>
        <v/>
      </c>
      <c r="AC17" s="102" t="str">
        <f ca="1">+IF(AND('Mapa de Riesgos'!$Y$72="AAAta",'Mapa de Riesgos'!$AA$72="Mayor"),CONCATENATE("R",'Mapa de Riesgos'!$A$72),"")</f>
        <v/>
      </c>
      <c r="AD17" s="133" t="str">
        <f ca="1">+IF(AND('Mapa de Riesgos'!$Y$17="AAAta",'Mapa de Riesgos'!$AA$17="Catastrófico"),CONCATENATE("R",'Mapa de Riesgos'!$A$17),"")</f>
        <v/>
      </c>
      <c r="AE17" s="103" t="str">
        <f ca="1">+IF(AND('Mapa de Riesgos'!$Y$30="AAAta",'Mapa de Riesgos'!$AA$30="Catastrófico"),CONCATENATE("R",'Mapa de Riesgos'!$A$30),"")</f>
        <v/>
      </c>
      <c r="AF17" s="103" t="str">
        <f ca="1">+IF(AND('Mapa de Riesgos'!$Y$44="AAAta",'Mapa de Riesgos'!$AA$44="Catastrófico"),CONCATENATE("R",'Mapa de Riesgos'!$A$44),"")</f>
        <v/>
      </c>
      <c r="AG17" s="103" t="str">
        <f ca="1">+IF(AND('Mapa de Riesgos'!$Y$58="AAAta",'Mapa de Riesgos'!$AA$58="Catastrófico"),CONCATENATE("R",'Mapa de Riesgos'!$A$58),"")</f>
        <v/>
      </c>
      <c r="AH17" s="129" t="str">
        <f ca="1">+IF(AND('Mapa de Riesgos'!$Y$72="AAAta",'Mapa de Riesgos'!$AA$72="Catastrófico"),CONCATENATE("R",'Mapa de Riesgos'!$A$72),"")</f>
        <v/>
      </c>
      <c r="AI17" s="38"/>
      <c r="AJ17" s="314"/>
      <c r="AK17" s="315"/>
      <c r="AL17" s="315"/>
      <c r="AM17" s="315"/>
      <c r="AN17" s="315"/>
      <c r="AO17" s="316"/>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row>
    <row r="18" spans="1:75" ht="18.75" x14ac:dyDescent="0.3">
      <c r="A18" s="38"/>
      <c r="B18" s="294"/>
      <c r="C18" s="294"/>
      <c r="D18" s="295"/>
      <c r="E18" s="298"/>
      <c r="F18" s="299"/>
      <c r="G18" s="299"/>
      <c r="H18" s="299"/>
      <c r="I18" s="299"/>
      <c r="J18" s="117" t="str">
        <f ca="1">+IF(AND('Mapa de Riesgos'!$Y$19="AAAta",'Mapa de Riesgos'!$AA$19="AAeve"),CONCATENATE("R",'Mapa de Riesgos'!$A$19),"")</f>
        <v/>
      </c>
      <c r="K18" s="104" t="str">
        <f ca="1">+IF(AND('Mapa de Riesgos'!$Y$32="AAAta",'Mapa de Riesgos'!$AA$32="AAeve"),CONCATENATE("R",'Mapa de Riesgos'!$A$32),"")</f>
        <v/>
      </c>
      <c r="L18" s="104" t="str">
        <f ca="1">+IF(AND('Mapa de Riesgos'!$Y$45="AAAta",'Mapa de Riesgos'!$AA$45="AAeve"),CONCATENATE("R",'Mapa de Riesgos'!$A$45),"")</f>
        <v/>
      </c>
      <c r="M18" s="104" t="str">
        <f ca="1">+IF(AND('Mapa de Riesgos'!$Y$60="AAAta",'Mapa de Riesgos'!$AA$60="AAeve"),CONCATENATE("R",'Mapa de Riesgos'!$A$60),"")</f>
        <v/>
      </c>
      <c r="N18" s="104" t="str">
        <f>+IF(AND('Mapa de Riesgos'!$Y$76="AAAta",'Mapa de Riesgos'!$AA$76="AAeve"),CONCATENATE("R",'Mapa de Riesgos'!$A$76),"")</f>
        <v/>
      </c>
      <c r="O18" s="117" t="str">
        <f ca="1">+IF(AND('Mapa de Riesgos'!$Y$19="AAAta",'Mapa de Riesgos'!$AA$19="Menor"),CONCATENATE("R",'Mapa de Riesgos'!$A$19),"")</f>
        <v/>
      </c>
      <c r="P18" s="104" t="str">
        <f ca="1">+IF(AND('Mapa de Riesgos'!$Y$32="AAAta",'Mapa de Riesgos'!$AA$32="Menor"),CONCATENATE("R",'Mapa de Riesgos'!$A$32),"")</f>
        <v/>
      </c>
      <c r="Q18" s="104" t="str">
        <f ca="1">+IF(AND('Mapa de Riesgos'!$Y$45="AAAta",'Mapa de Riesgos'!$AA$45="Menor"),CONCATENATE("R",'Mapa de Riesgos'!$A$45),"")</f>
        <v/>
      </c>
      <c r="R18" s="104" t="str">
        <f ca="1">+IF(AND('Mapa de Riesgos'!$Y$60="AAAta",'Mapa de Riesgos'!$AA$60="Menor"),CONCATENATE("R",'Mapa de Riesgos'!$A$60),"")</f>
        <v/>
      </c>
      <c r="S18" s="104" t="str">
        <f>+IF(AND('Mapa de Riesgos'!$Y$76="AAAta",'Mapa de Riesgos'!$AA$76="Menor"),CONCATENATE("R",'Mapa de Riesgos'!$A$76),"")</f>
        <v/>
      </c>
      <c r="T18" s="109" t="str">
        <f ca="1">+IF(AND('Mapa de Riesgos'!$Y$19="AAAta",'Mapa de Riesgos'!$AA$19="Moderado"),CONCATENATE("R",'Mapa de Riesgos'!$A$19),"")</f>
        <v/>
      </c>
      <c r="U18" s="102" t="str">
        <f ca="1">+IF(AND('Mapa de Riesgos'!$Y$32="AAAta",'Mapa de Riesgos'!$AA$32="Moderado"),CONCATENATE("R",'Mapa de Riesgos'!$A$32),"")</f>
        <v/>
      </c>
      <c r="V18" s="102" t="str">
        <f ca="1">+IF(AND('Mapa de Riesgos'!$Y$45="AAAta",'Mapa de Riesgos'!$AA$45="Moderado"),CONCATENATE("R",'Mapa de Riesgos'!$A$45),"")</f>
        <v/>
      </c>
      <c r="W18" s="102" t="str">
        <f ca="1">+IF(AND('Mapa de Riesgos'!$Y$60="AAAta",'Mapa de Riesgos'!$AA$60="Moderado"),CONCATENATE("R",'Mapa de Riesgos'!$A$60),"")</f>
        <v/>
      </c>
      <c r="X18" s="102" t="str">
        <f>+IF(AND('Mapa de Riesgos'!$Y$76="AAAta",'Mapa de Riesgos'!$AA$76="Moderado"),CONCATENATE("R",'Mapa de Riesgos'!$A$76),"")</f>
        <v/>
      </c>
      <c r="Y18" s="109" t="str">
        <f ca="1">+IF(AND('Mapa de Riesgos'!$Y$19="AAAta",'Mapa de Riesgos'!$AA$19="Mayor"),CONCATENATE("R",'Mapa de Riesgos'!$A$19),"")</f>
        <v/>
      </c>
      <c r="Z18" s="102" t="str">
        <f ca="1">+IF(AND('Mapa de Riesgos'!$Y$32="AAAta",'Mapa de Riesgos'!$AA$32="Mayor"),CONCATENATE("R",'Mapa de Riesgos'!$A$32),"")</f>
        <v/>
      </c>
      <c r="AA18" s="102" t="str">
        <f ca="1">+IF(AND('Mapa de Riesgos'!$Y$45="AAAta",'Mapa de Riesgos'!$AA$45="Mayor"),CONCATENATE("R",'Mapa de Riesgos'!$A$45),"")</f>
        <v/>
      </c>
      <c r="AB18" s="102" t="str">
        <f ca="1">+IF(AND('Mapa de Riesgos'!$Y$60="AAAta",'Mapa de Riesgos'!$AA$60="Mayor"),CONCATENATE("R",'Mapa de Riesgos'!$A$60),"")</f>
        <v/>
      </c>
      <c r="AC18" s="102" t="str">
        <f>+IF(AND('Mapa de Riesgos'!$Y$76="AAAta",'Mapa de Riesgos'!$AA$76="Mayor"),CONCATENATE("R",'Mapa de Riesgos'!$A$76),"")</f>
        <v/>
      </c>
      <c r="AD18" s="133" t="str">
        <f ca="1">+IF(AND('Mapa de Riesgos'!$Y$19="AAAta",'Mapa de Riesgos'!$AA$19="Catastrófico"),CONCATENATE("R",'Mapa de Riesgos'!$A$19),"")</f>
        <v/>
      </c>
      <c r="AE18" s="103" t="str">
        <f ca="1">+IF(AND('Mapa de Riesgos'!$Y$32="AAAta",'Mapa de Riesgos'!$AA$32="Catastrófico"),CONCATENATE("R",'Mapa de Riesgos'!$A$32),"")</f>
        <v/>
      </c>
      <c r="AF18" s="103" t="str">
        <f ca="1">+IF(AND('Mapa de Riesgos'!$Y$45="AAAta",'Mapa de Riesgos'!$AA$45="Catastrófico"),CONCATENATE("R",'Mapa de Riesgos'!$A$45),"")</f>
        <v/>
      </c>
      <c r="AG18" s="103" t="str">
        <f ca="1">+IF(AND('Mapa de Riesgos'!$Y$60="AAAta",'Mapa de Riesgos'!$AA$60="Catastrófico"),CONCATENATE("R",'Mapa de Riesgos'!$A$60),"")</f>
        <v/>
      </c>
      <c r="AH18" s="129" t="str">
        <f>+IF(AND('Mapa de Riesgos'!$Y$76="AAAta",'Mapa de Riesgos'!$AA$76="Catastrófico"),CONCATENATE("R",'Mapa de Riesgos'!$A$76),"")</f>
        <v/>
      </c>
      <c r="AI18" s="38"/>
      <c r="AJ18" s="314"/>
      <c r="AK18" s="315"/>
      <c r="AL18" s="315"/>
      <c r="AM18" s="315"/>
      <c r="AN18" s="315"/>
      <c r="AO18" s="316"/>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row>
    <row r="19" spans="1:75" ht="18.75" x14ac:dyDescent="0.3">
      <c r="A19" s="38"/>
      <c r="B19" s="294"/>
      <c r="C19" s="294"/>
      <c r="D19" s="295"/>
      <c r="E19" s="298"/>
      <c r="F19" s="299"/>
      <c r="G19" s="299"/>
      <c r="H19" s="299"/>
      <c r="I19" s="299"/>
      <c r="J19" s="117" t="str">
        <f ca="1">+IF(AND('Mapa de Riesgos'!$Y$21="AAAta",'Mapa de Riesgos'!$AA$21="AAeve"),CONCATENATE("R",'Mapa de Riesgos'!$A$21),"")</f>
        <v/>
      </c>
      <c r="K19" s="104" t="str">
        <f ca="1">+IF(AND('Mapa de Riesgos'!$Y$34="AAAta",'Mapa de Riesgos'!$AA$34="AAeve"),CONCATENATE("R",'Mapa de Riesgos'!$A$34),"")</f>
        <v/>
      </c>
      <c r="L19" s="104" t="e">
        <f>+IF(AND('Mapa de Riesgos'!#REF!="AAA",'Mapa de Riesgos'!#REF!="AAeve"),CONCATENATE("R",'Mapa de Riesgos'!#REF!),"")</f>
        <v>#REF!</v>
      </c>
      <c r="M19" s="104" t="str">
        <f ca="1">+IF(AND('Mapa de Riesgos'!$Y$61="AAAta",'Mapa de Riesgos'!$AA$61="AAeve"),CONCATENATE("R",'Mapa de Riesgos'!$A$61),"")</f>
        <v/>
      </c>
      <c r="N19" s="104" t="str">
        <f>+IF(AND('Mapa de Riesgos'!$Y$82="AAAta",'Mapa de Riesgos'!$AA$82="AAeve"),CONCATENATE("R",'Mapa de Riesgos'!$A$82),"")</f>
        <v/>
      </c>
      <c r="O19" s="117" t="str">
        <f ca="1">+IF(AND('Mapa de Riesgos'!$Y$21="AAAta",'Mapa de Riesgos'!$AA$21="Menor"),CONCATENATE("R",'Mapa de Riesgos'!$A$21),"")</f>
        <v/>
      </c>
      <c r="P19" s="104" t="str">
        <f ca="1">+IF(AND('Mapa de Riesgos'!$Y$34="AAAta",'Mapa de Riesgos'!$AA$34="Menor"),CONCATENATE("R",'Mapa de Riesgos'!$A$34),"")</f>
        <v/>
      </c>
      <c r="Q19" s="104" t="e">
        <f>+IF(AND('Mapa de Riesgos'!#REF!="AAAta",'Mapa de Riesgos'!#REF!="Menor"),CONCATENATE("R",'Mapa de Riesgos'!#REF!),"")</f>
        <v>#REF!</v>
      </c>
      <c r="R19" s="104" t="str">
        <f ca="1">+IF(AND('Mapa de Riesgos'!$Y$61="AAAta",'Mapa de Riesgos'!$AA$61="Menor"),CONCATENATE("R",'Mapa de Riesgos'!$A$61),"")</f>
        <v/>
      </c>
      <c r="S19" s="104" t="str">
        <f>+IF(AND('Mapa de Riesgos'!$Y$82="AAAta",'Mapa de Riesgos'!$AA$82="Menor"),CONCATENATE("R",'Mapa de Riesgos'!$A$82),"")</f>
        <v/>
      </c>
      <c r="T19" s="109" t="str">
        <f ca="1">+IF(AND('Mapa de Riesgos'!$Y$21="AAAta",'Mapa de Riesgos'!$AA$21="Moderado"),CONCATENATE("R",'Mapa de Riesgos'!$A$21),"")</f>
        <v/>
      </c>
      <c r="U19" s="102" t="str">
        <f ca="1">+IF(AND('Mapa de Riesgos'!$Y$34="AAAta",'Mapa de Riesgos'!$AA$34="Moderado"),CONCATENATE("R",'Mapa de Riesgos'!$A$34),"")</f>
        <v/>
      </c>
      <c r="V19" s="102" t="e">
        <f>+IF(AND('Mapa de Riesgos'!#REF!="AAAta",'Mapa de Riesgos'!#REF!="Moderado"),CONCATENATE("R",'Mapa de Riesgos'!#REF!),"")</f>
        <v>#REF!</v>
      </c>
      <c r="W19" s="102" t="str">
        <f ca="1">+IF(AND('Mapa de Riesgos'!$Y$61="AAAta",'Mapa de Riesgos'!$AA$61="Moderado"),CONCATENATE("R",'Mapa de Riesgos'!$A$61),"")</f>
        <v/>
      </c>
      <c r="X19" s="102" t="str">
        <f>+IF(AND('Mapa de Riesgos'!$Y$82="AAAta",'Mapa de Riesgos'!$AA$82="Moderado"),CONCATENATE("R",'Mapa de Riesgos'!$A$82),"")</f>
        <v/>
      </c>
      <c r="Y19" s="109" t="str">
        <f ca="1">+IF(AND('Mapa de Riesgos'!$Y$21="AAAta",'Mapa de Riesgos'!$AA$21="Mayor"),CONCATENATE("R",'Mapa de Riesgos'!$A$21),"")</f>
        <v/>
      </c>
      <c r="Z19" s="102" t="str">
        <f ca="1">+IF(AND('Mapa de Riesgos'!$Y$34="AAAta",'Mapa de Riesgos'!$AA$34="Mayor"),CONCATENATE("R",'Mapa de Riesgos'!$A$34),"")</f>
        <v/>
      </c>
      <c r="AA19" s="102" t="e">
        <f>+IF(AND('Mapa de Riesgos'!#REF!="AAAta",'Mapa de Riesgos'!#REF!="Mayor"),CONCATENATE("R",'Mapa de Riesgos'!#REF!),"")</f>
        <v>#REF!</v>
      </c>
      <c r="AB19" s="102" t="str">
        <f ca="1">+IF(AND('Mapa de Riesgos'!$Y$61="AAAta",'Mapa de Riesgos'!$AA$61="Mayor"),CONCATENATE("R",'Mapa de Riesgos'!$A$61),"")</f>
        <v/>
      </c>
      <c r="AC19" s="102" t="str">
        <f>+IF(AND('Mapa de Riesgos'!$Y$82="AAAta",'Mapa de Riesgos'!$AA$82="Mayor"),CONCATENATE("R",'Mapa de Riesgos'!$A$82),"")</f>
        <v/>
      </c>
      <c r="AD19" s="133" t="str">
        <f ca="1">+IF(AND('Mapa de Riesgos'!$Y$21="AAAta",'Mapa de Riesgos'!$AA$21="Catastrófico"),CONCATENATE("R",'Mapa de Riesgos'!$A$21),"")</f>
        <v/>
      </c>
      <c r="AE19" s="103" t="str">
        <f ca="1">+IF(AND('Mapa de Riesgos'!$Y$34="AAAta",'Mapa de Riesgos'!$AA$34="Catastrófico"),CONCATENATE("R",'Mapa de Riesgos'!$A$34),"")</f>
        <v/>
      </c>
      <c r="AF19" s="103" t="e">
        <f>+IF(AND('Mapa de Riesgos'!#REF!="AAAta",'Mapa de Riesgos'!#REF!="Catastrófico"),CONCATENATE("R",'Mapa de Riesgos'!#REF!),"")</f>
        <v>#REF!</v>
      </c>
      <c r="AG19" s="103" t="str">
        <f ca="1">+IF(AND('Mapa de Riesgos'!$Y$61="AAAta",'Mapa de Riesgos'!$AA$61="Catastrófico"),CONCATENATE("R",'Mapa de Riesgos'!$A$61),"")</f>
        <v/>
      </c>
      <c r="AH19" s="129" t="str">
        <f>+IF(AND('Mapa de Riesgos'!$Y$82="AAAta",'Mapa de Riesgos'!$AA$82="Catastrófico"),CONCATENATE("R",'Mapa de Riesgos'!$A$82),"")</f>
        <v/>
      </c>
      <c r="AI19" s="38"/>
      <c r="AJ19" s="314"/>
      <c r="AK19" s="315"/>
      <c r="AL19" s="315"/>
      <c r="AM19" s="315"/>
      <c r="AN19" s="315"/>
      <c r="AO19" s="316"/>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row>
    <row r="20" spans="1:75" ht="18.75" x14ac:dyDescent="0.3">
      <c r="A20" s="38"/>
      <c r="B20" s="294"/>
      <c r="C20" s="294"/>
      <c r="D20" s="295"/>
      <c r="E20" s="298"/>
      <c r="F20" s="299"/>
      <c r="G20" s="299"/>
      <c r="H20" s="299"/>
      <c r="I20" s="299"/>
      <c r="J20" s="117" t="str">
        <f ca="1">+IF(AND('Mapa de Riesgos'!$Y$23="AAAta",'Mapa de Riesgos'!$AA$23="AAeve"),CONCATENATE("R",'Mapa de Riesgos'!$A$23),"")</f>
        <v/>
      </c>
      <c r="K20" s="104" t="str">
        <f ca="1">+IF(AND('Mapa de Riesgos'!$Y$36="AAAta",'Mapa de Riesgos'!$AA$36="AAeve"),CONCATENATE("R",'Mapa de Riesgos'!$A$36),"")</f>
        <v/>
      </c>
      <c r="L20" s="104" t="str">
        <f ca="1">+IF(AND('Mapa de Riesgos'!$Y$48="AAAta",'Mapa de Riesgos'!$AA$48="AAeve"),CONCATENATE("R",'Mapa de Riesgos'!$A$48),"")</f>
        <v/>
      </c>
      <c r="M20" s="104" t="str">
        <f ca="1">+IF(AND('Mapa de Riesgos'!$Y$63="AAAta",'Mapa de Riesgos'!$AA$63="AAeve"),CONCATENATE("R",'Mapa de Riesgos'!$A$63),"")</f>
        <v/>
      </c>
      <c r="N20" s="104" t="str">
        <f>+IF(AND('Mapa de Riesgos'!$Y$88="AAAta",'Mapa de Riesgos'!$AA$88="AAeve"),CONCATENATE("R",'Mapa de Riesgos'!$A$88),"")</f>
        <v/>
      </c>
      <c r="O20" s="117" t="str">
        <f ca="1">+IF(AND('Mapa de Riesgos'!$Y$23="AAAta",'Mapa de Riesgos'!$AA$23="Menor"),CONCATENATE("R",'Mapa de Riesgos'!$A$23),"")</f>
        <v/>
      </c>
      <c r="P20" s="104" t="str">
        <f ca="1">+IF(AND('Mapa de Riesgos'!$Y$36="AAAta",'Mapa de Riesgos'!$AA$36="Menor"),CONCATENATE("R",'Mapa de Riesgos'!$A$36),"")</f>
        <v/>
      </c>
      <c r="Q20" s="104" t="str">
        <f ca="1">+IF(AND('Mapa de Riesgos'!$Y$48="AAAta",'Mapa de Riesgos'!$AA$48="Menor"),CONCATENATE("R",'Mapa de Riesgos'!$A$48),"")</f>
        <v/>
      </c>
      <c r="R20" s="104" t="str">
        <f ca="1">+IF(AND('Mapa de Riesgos'!$Y$63="AAAta",'Mapa de Riesgos'!$AA$63="Menor"),CONCATENATE("R",'Mapa de Riesgos'!$A$63),"")</f>
        <v/>
      </c>
      <c r="S20" s="104" t="str">
        <f>+IF(AND('Mapa de Riesgos'!$Y$88="AAAta",'Mapa de Riesgos'!$AA$88="Menor"),CONCATENATE("R",'Mapa de Riesgos'!$A$88),"")</f>
        <v/>
      </c>
      <c r="T20" s="109" t="str">
        <f ca="1">+IF(AND('Mapa de Riesgos'!$Y$23="AAAta",'Mapa de Riesgos'!$AA$23="Moderado"),CONCATENATE("R",'Mapa de Riesgos'!$A$23),"")</f>
        <v/>
      </c>
      <c r="U20" s="102" t="str">
        <f ca="1">+IF(AND('Mapa de Riesgos'!$Y$36="AAAta",'Mapa de Riesgos'!$AA$36="Moderado"),CONCATENATE("R",'Mapa de Riesgos'!$A$36),"")</f>
        <v/>
      </c>
      <c r="V20" s="102" t="str">
        <f ca="1">+IF(AND('Mapa de Riesgos'!$Y$48="AAAta",'Mapa de Riesgos'!$AA$48="Moderado"),CONCATENATE("R",'Mapa de Riesgos'!$A$48),"")</f>
        <v/>
      </c>
      <c r="W20" s="102" t="str">
        <f ca="1">+IF(AND('Mapa de Riesgos'!$Y$63="AAAta",'Mapa de Riesgos'!$AA$63="Moderado"),CONCATENATE("R",'Mapa de Riesgos'!$A$63),"")</f>
        <v/>
      </c>
      <c r="X20" s="102" t="str">
        <f>+IF(AND('Mapa de Riesgos'!$Y$88="AAAta",'Mapa de Riesgos'!$AA$88="Moderado"),CONCATENATE("R",'Mapa de Riesgos'!$A$88),"")</f>
        <v/>
      </c>
      <c r="Y20" s="109" t="str">
        <f ca="1">+IF(AND('Mapa de Riesgos'!$Y$23="AAAta",'Mapa de Riesgos'!$AA$23="Mayor"),CONCATENATE("R",'Mapa de Riesgos'!$A$23),"")</f>
        <v/>
      </c>
      <c r="Z20" s="102" t="str">
        <f ca="1">+IF(AND('Mapa de Riesgos'!$Y$36="AAAta",'Mapa de Riesgos'!$AA$36="Mayor"),CONCATENATE("R",'Mapa de Riesgos'!$A$36),"")</f>
        <v/>
      </c>
      <c r="AA20" s="102" t="str">
        <f ca="1">+IF(AND('Mapa de Riesgos'!$Y$48="AAAta",'Mapa de Riesgos'!$AA$48="Mayor"),CONCATENATE("R",'Mapa de Riesgos'!$A$48),"")</f>
        <v/>
      </c>
      <c r="AB20" s="102" t="str">
        <f ca="1">+IF(AND('Mapa de Riesgos'!$Y$63="AAAta",'Mapa de Riesgos'!$AA$63="Mayor"),CONCATENATE("R",'Mapa de Riesgos'!$A$63),"")</f>
        <v/>
      </c>
      <c r="AC20" s="102" t="str">
        <f>+IF(AND('Mapa de Riesgos'!$Y$88="AAAta",'Mapa de Riesgos'!$AA$88="Mayor"),CONCATENATE("R",'Mapa de Riesgos'!$A$88),"")</f>
        <v/>
      </c>
      <c r="AD20" s="133" t="str">
        <f ca="1">+IF(AND('Mapa de Riesgos'!$Y$23="AAAta",'Mapa de Riesgos'!$AA$23="Catastrófico"),CONCATENATE("R",'Mapa de Riesgos'!$A$23),"")</f>
        <v/>
      </c>
      <c r="AE20" s="103" t="str">
        <f ca="1">+IF(AND('Mapa de Riesgos'!$Y$36="AAAta",'Mapa de Riesgos'!$AA$36="Catastrófico"),CONCATENATE("R",'Mapa de Riesgos'!$A$36),"")</f>
        <v/>
      </c>
      <c r="AF20" s="103" t="str">
        <f ca="1">+IF(AND('Mapa de Riesgos'!$Y$48="AAAta",'Mapa de Riesgos'!$AA$48="Catastrófico"),CONCATENATE("R",'Mapa de Riesgos'!$A$48),"")</f>
        <v/>
      </c>
      <c r="AG20" s="103" t="str">
        <f ca="1">+IF(AND('Mapa de Riesgos'!$Y$63="AAAta",'Mapa de Riesgos'!$AA$63="Catastrófico"),CONCATENATE("R",'Mapa de Riesgos'!$A$63),"")</f>
        <v/>
      </c>
      <c r="AH20" s="129" t="str">
        <f>+IF(AND('Mapa de Riesgos'!$Y$88="AAAta",'Mapa de Riesgos'!$AA$88="Catastrófico"),CONCATENATE("R",'Mapa de Riesgos'!$A$88),"")</f>
        <v/>
      </c>
      <c r="AI20" s="38"/>
      <c r="AJ20" s="314"/>
      <c r="AK20" s="315"/>
      <c r="AL20" s="315"/>
      <c r="AM20" s="315"/>
      <c r="AN20" s="315"/>
      <c r="AO20" s="316"/>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row>
    <row r="21" spans="1:75" ht="19.5" thickBot="1" x14ac:dyDescent="0.35">
      <c r="A21" s="38"/>
      <c r="B21" s="294"/>
      <c r="C21" s="294"/>
      <c r="D21" s="295"/>
      <c r="E21" s="300"/>
      <c r="F21" s="301"/>
      <c r="G21" s="301"/>
      <c r="H21" s="301"/>
      <c r="I21" s="301"/>
      <c r="J21" s="117" t="str">
        <f ca="1">+IF(AND('Mapa de Riesgos'!$Y$26="AAAta",'Mapa de Riesgos'!$AA$26="AAeve"),CONCATENATE("R",'Mapa de Riesgos'!$A$26),"")</f>
        <v/>
      </c>
      <c r="K21" s="104" t="str">
        <f ca="1">+IF(AND('Mapa de Riesgos'!$Y$37="AAAta",'Mapa de Riesgos'!$AA$37="AAeve"),CONCATENATE("R",'Mapa de Riesgos'!$A$37),"")</f>
        <v/>
      </c>
      <c r="L21" s="104" t="str">
        <f ca="1">+IF(AND('Mapa de Riesgos'!$Y$51="AAAta",'Mapa de Riesgos'!$AA$51="AAeve"),CONCATENATE("R",'Mapa de Riesgos'!$A$51),"")</f>
        <v/>
      </c>
      <c r="M21" s="104" t="str">
        <f ca="1">+IF(AND('Mapa de Riesgos'!$Y$64="AAAta",'Mapa de Riesgos'!$AA$64="AAeve"),CONCATENATE("R",'Mapa de Riesgos'!$A$64),"")</f>
        <v/>
      </c>
      <c r="N21" s="104" t="str">
        <f>+IF(AND('Mapa de Riesgos'!$Y$94="AAAta",'Mapa de Riesgos'!$AA$94="AAeve"),CONCATENATE("R",'Mapa de Riesgos'!$A$94),"")</f>
        <v/>
      </c>
      <c r="O21" s="119" t="str">
        <f ca="1">+IF(AND('Mapa de Riesgos'!$Y$26="AAAta",'Mapa de Riesgos'!$AA$26="Menor"),CONCATENATE("R",'Mapa de Riesgos'!$A$26),"")</f>
        <v/>
      </c>
      <c r="P21" s="120" t="str">
        <f ca="1">+IF(AND('Mapa de Riesgos'!$Y$37="AAAta",'Mapa de Riesgos'!$AA$37="Menor"),CONCATENATE("R",'Mapa de Riesgos'!$A$37),"")</f>
        <v/>
      </c>
      <c r="Q21" s="120" t="str">
        <f ca="1">+IF(AND('Mapa de Riesgos'!$Y$51="AAAta",'Mapa de Riesgos'!$AA$51="Menor"),CONCATENATE("R",'Mapa de Riesgos'!$A$51),"")</f>
        <v/>
      </c>
      <c r="R21" s="120" t="str">
        <f ca="1">+IF(AND('Mapa de Riesgos'!$Y$64="AAAta",'Mapa de Riesgos'!$AA$64="Menor"),CONCATENATE("R",'Mapa de Riesgos'!$A$64),"")</f>
        <v/>
      </c>
      <c r="S21" s="120" t="str">
        <f>+IF(AND('Mapa de Riesgos'!$Y$94="AAAta",'Mapa de Riesgos'!$AA$94="Menor"),CONCATENATE("R",'Mapa de Riesgos'!$A$94),"")</f>
        <v/>
      </c>
      <c r="T21" s="109" t="str">
        <f ca="1">+IF(AND('Mapa de Riesgos'!$Y$26="AAAta",'Mapa de Riesgos'!$AA$26="Moderado"),CONCATENATE("R",'Mapa de Riesgos'!$A$26),"")</f>
        <v/>
      </c>
      <c r="U21" s="102" t="str">
        <f ca="1">+IF(AND('Mapa de Riesgos'!$Y$37="AAAta",'Mapa de Riesgos'!$AA$37="Moderado"),CONCATENATE("R",'Mapa de Riesgos'!$A$37),"")</f>
        <v/>
      </c>
      <c r="V21" s="102" t="str">
        <f ca="1">+IF(AND('Mapa de Riesgos'!$Y$51="AAAta",'Mapa de Riesgos'!$AA$51="Moderado"),CONCATENATE("R",'Mapa de Riesgos'!$A$51),"")</f>
        <v/>
      </c>
      <c r="W21" s="102" t="str">
        <f ca="1">+IF(AND('Mapa de Riesgos'!$Y$64="AAAta",'Mapa de Riesgos'!$AA$64="Moderado"),CONCATENATE("R",'Mapa de Riesgos'!$A$64),"")</f>
        <v/>
      </c>
      <c r="X21" s="102" t="str">
        <f>+IF(AND('Mapa de Riesgos'!$Y$94="AAAta",'Mapa de Riesgos'!$AA$94="Moderado"),CONCATENATE("R",'Mapa de Riesgos'!$A$94),"")</f>
        <v/>
      </c>
      <c r="Y21" s="109" t="str">
        <f ca="1">+IF(AND('Mapa de Riesgos'!$Y$26="AAAta",'Mapa de Riesgos'!$AA$26="Mayor"),CONCATENATE("R",'Mapa de Riesgos'!$A$26),"")</f>
        <v/>
      </c>
      <c r="Z21" s="102" t="str">
        <f ca="1">+IF(AND('Mapa de Riesgos'!$Y$37="AAAta",'Mapa de Riesgos'!$AA$37="Mayor"),CONCATENATE("R",'Mapa de Riesgos'!$A$37),"")</f>
        <v/>
      </c>
      <c r="AA21" s="102" t="str">
        <f ca="1">+IF(AND('Mapa de Riesgos'!$Y$51="AAAta",'Mapa de Riesgos'!$AA$51="Mayor"),CONCATENATE("R",'Mapa de Riesgos'!$A$51),"")</f>
        <v/>
      </c>
      <c r="AB21" s="102" t="str">
        <f ca="1">+IF(AND('Mapa de Riesgos'!$Y$64="AAAta",'Mapa de Riesgos'!$AA$64="Mayor"),CONCATENATE("R",'Mapa de Riesgos'!$A$64),"")</f>
        <v/>
      </c>
      <c r="AC21" s="102" t="str">
        <f>+IF(AND('Mapa de Riesgos'!$Y$94="AAAta",'Mapa de Riesgos'!$AA$94="Mayor"),CONCATENATE("R",'Mapa de Riesgos'!$A$94),"")</f>
        <v/>
      </c>
      <c r="AD21" s="133" t="str">
        <f ca="1">+IF(AND('Mapa de Riesgos'!$Y$26="AAAta",'Mapa de Riesgos'!$AA$26="Catastrófico"),CONCATENATE("R",'Mapa de Riesgos'!$A$26),"")</f>
        <v/>
      </c>
      <c r="AE21" s="103" t="str">
        <f ca="1">+IF(AND('Mapa de Riesgos'!$Y$37="AAAta",'Mapa de Riesgos'!$AA$37="Catastrófico"),CONCATENATE("R",'Mapa de Riesgos'!$A$37),"")</f>
        <v/>
      </c>
      <c r="AF21" s="103" t="str">
        <f ca="1">+IF(AND('Mapa de Riesgos'!$Y$51="AAAta",'Mapa de Riesgos'!$AA$51="Catastrófico"),CONCATENATE("R",'Mapa de Riesgos'!$A$51),"")</f>
        <v/>
      </c>
      <c r="AG21" s="103" t="str">
        <f ca="1">+IF(AND('Mapa de Riesgos'!$Y$64="AAAta",'Mapa de Riesgos'!$AA$64="Catastrófico"),CONCATENATE("R",'Mapa de Riesgos'!$A$64),"")</f>
        <v/>
      </c>
      <c r="AH21" s="129" t="str">
        <f>+IF(AND('Mapa de Riesgos'!$Y$94="AAAta",'Mapa de Riesgos'!$AA$94="Catastrófico"),CONCATENATE("R",'Mapa de Riesgos'!$A$94),"")</f>
        <v/>
      </c>
      <c r="AI21" s="38"/>
      <c r="AJ21" s="317"/>
      <c r="AK21" s="318"/>
      <c r="AL21" s="318"/>
      <c r="AM21" s="318"/>
      <c r="AN21" s="318"/>
      <c r="AO21" s="319"/>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row>
    <row r="22" spans="1:75" ht="18.75" x14ac:dyDescent="0.3">
      <c r="A22" s="38"/>
      <c r="B22" s="294"/>
      <c r="C22" s="294"/>
      <c r="D22" s="295"/>
      <c r="E22" s="296" t="s">
        <v>85</v>
      </c>
      <c r="F22" s="297"/>
      <c r="G22" s="297"/>
      <c r="H22" s="297"/>
      <c r="I22" s="297"/>
      <c r="J22" s="114" t="str">
        <f ca="1">+IF(AND('Mapa de Riesgos'!$Y$7="Media",'Mapa de Riesgos'!$AA$7="AAeve"),CONCATENATE("R",'Mapa de Riesgos'!$A$7),"")</f>
        <v/>
      </c>
      <c r="K22" s="115" t="str">
        <f ca="1">+IF(AND('Mapa de Riesgos'!$Y$27="Media",'Mapa de Riesgos'!$AA$27="AAeve"),CONCATENATE("R",'Mapa de Riesgos'!$A$27),"")</f>
        <v/>
      </c>
      <c r="L22" s="115" t="str">
        <f ca="1">+IF(AND('Mapa de Riesgos'!$Y$39="Media",'Mapa de Riesgos'!$AA$39="AAeve"),CONCATENATE("R",'Mapa de Riesgos'!$A$39),"")</f>
        <v/>
      </c>
      <c r="M22" s="115" t="str">
        <f ca="1">+IF(AND('Mapa de Riesgos'!$Y$53="Media",'Mapa de Riesgos'!$AA$53="AAeve"),CONCATENATE("R",'Mapa de Riesgos'!$A$53),"")</f>
        <v/>
      </c>
      <c r="N22" s="116" t="str">
        <f ca="1">+IF(AND('Mapa de Riesgos'!$Y$66="Media",'Mapa de Riesgos'!$AA$66="AAeve"),CONCATENATE("R",'Mapa de Riesgos'!$A$66),"")</f>
        <v/>
      </c>
      <c r="O22" s="104" t="str">
        <f ca="1">+IF(AND('Mapa de Riesgos'!$Y$7="Media",'Mapa de Riesgos'!$AA$7="Menor"),CONCATENATE("R",'Mapa de Riesgos'!$A$7),"")</f>
        <v/>
      </c>
      <c r="P22" s="104" t="str">
        <f ca="1">+IF(AND('Mapa de Riesgos'!$Y$27="Media",'Mapa de Riesgos'!$AA$27="Menor"),CONCATENATE("R",'Mapa de Riesgos'!$A$27),"")</f>
        <v/>
      </c>
      <c r="Q22" s="104" t="str">
        <f ca="1">+IF(AND('Mapa de Riesgos'!$Y$39="Media",'Mapa de Riesgos'!$AA$39="Menor"),CONCATENATE("R",'Mapa de Riesgos'!$A$39),"")</f>
        <v/>
      </c>
      <c r="R22" s="104" t="str">
        <f ca="1">+IF(AND('Mapa de Riesgos'!$Y$53="Media",'Mapa de Riesgos'!$AA$53="Menor"),CONCATENATE("R",'Mapa de Riesgos'!$A$53),"")</f>
        <v/>
      </c>
      <c r="S22" s="104" t="str">
        <f ca="1">+IF(AND('Mapa de Riesgos'!$Y$66="Media",'Mapa de Riesgos'!$AA$66="Menor"),CONCATENATE("R",'Mapa de Riesgos'!$A$66),"")</f>
        <v>R33</v>
      </c>
      <c r="T22" s="114" t="str">
        <f ca="1">+IF(AND('Mapa de Riesgos'!$Y$7="Media",'Mapa de Riesgos'!$AA$7="Moderado"),CONCATENATE("R",'Mapa de Riesgos'!$A$7),"")</f>
        <v/>
      </c>
      <c r="U22" s="115" t="str">
        <f ca="1">+IF(AND('Mapa de Riesgos'!$Y$27="Media",'Mapa de Riesgos'!$AA$27="Moderado"),CONCATENATE("R",'Mapa de Riesgos'!$A$27),"")</f>
        <v/>
      </c>
      <c r="V22" s="115" t="str">
        <f ca="1">+IF(AND('Mapa de Riesgos'!$Y$39="Media",'Mapa de Riesgos'!$AA$39="Moderado"),CONCATENATE("R",'Mapa de Riesgos'!$A$39),"")</f>
        <v/>
      </c>
      <c r="W22" s="115" t="str">
        <f ca="1">+IF(AND('Mapa de Riesgos'!$Y$53="Media",'Mapa de Riesgos'!$AA$53="Moderado"),CONCATENATE("R",'Mapa de Riesgos'!$A$53),"")</f>
        <v/>
      </c>
      <c r="X22" s="116" t="str">
        <f ca="1">+IF(AND('Mapa de Riesgos'!$Y$66="Media",'Mapa de Riesgos'!$AA$66="Moderado"),CONCATENATE("R",'Mapa de Riesgos'!$A$66),"")</f>
        <v/>
      </c>
      <c r="Y22" s="107" t="str">
        <f ca="1">+IF(AND('Mapa de Riesgos'!$Y$7="Media",'Mapa de Riesgos'!$AA$7="Mayor"),CONCATENATE("R",'Mapa de Riesgos'!$A$7),"")</f>
        <v/>
      </c>
      <c r="Z22" s="107" t="str">
        <f ca="1">+IF(AND('Mapa de Riesgos'!$Y$27="Media",'Mapa de Riesgos'!$AA$27="Mayor"),CONCATENATE("R",'Mapa de Riesgos'!$A$27),"")</f>
        <v/>
      </c>
      <c r="AA22" s="107" t="str">
        <f ca="1">+IF(AND('Mapa de Riesgos'!$Y$39="Media",'Mapa de Riesgos'!$AA$39="Mayor"),CONCATENATE("R",'Mapa de Riesgos'!$A$39),"")</f>
        <v/>
      </c>
      <c r="AB22" s="107" t="str">
        <f ca="1">+IF(AND('Mapa de Riesgos'!$Y$53="Media",'Mapa de Riesgos'!$AA$53="Mayor"),CONCATENATE("R",'Mapa de Riesgos'!$A$53),"")</f>
        <v/>
      </c>
      <c r="AC22" s="107" t="str">
        <f ca="1">+IF(AND('Mapa de Riesgos'!$Y$66="Media",'Mapa de Riesgos'!$AA$66="Mayor"),CONCATENATE("R",'Mapa de Riesgos'!$A$66),"")</f>
        <v/>
      </c>
      <c r="AD22" s="132" t="str">
        <f ca="1">+IF(AND('Mapa de Riesgos'!$Y$7="Media",'Mapa de Riesgos'!$AA$7="Catastrófico"),CONCATENATE("R",'Mapa de Riesgos'!$A$7),"")</f>
        <v/>
      </c>
      <c r="AE22" s="127" t="str">
        <f ca="1">+IF(AND('Mapa de Riesgos'!$Y$27="Media",'Mapa de Riesgos'!$AA$27="Catastrófico"),CONCATENATE("R",'Mapa de Riesgos'!$A$27),"")</f>
        <v/>
      </c>
      <c r="AF22" s="127" t="str">
        <f ca="1">+IF(AND('Mapa de Riesgos'!$Y$39="Media",'Mapa de Riesgos'!$AA$39="Catastrófico"),CONCATENATE("R",'Mapa de Riesgos'!$A$39),"")</f>
        <v/>
      </c>
      <c r="AG22" s="127" t="str">
        <f ca="1">+IF(AND('Mapa de Riesgos'!$Y$53="Media",'Mapa de Riesgos'!$AA$53="Catastrófico"),CONCATENATE("R",'Mapa de Riesgos'!$A$53),"")</f>
        <v/>
      </c>
      <c r="AH22" s="128" t="str">
        <f ca="1">+IF(AND('Mapa de Riesgos'!$Y$66="Media",'Mapa de Riesgos'!$AA$66="Catastrófico"),CONCATENATE("R",'Mapa de Riesgos'!$A$66),"")</f>
        <v/>
      </c>
      <c r="AI22" s="38"/>
      <c r="AJ22" s="320" t="s">
        <v>86</v>
      </c>
      <c r="AK22" s="321"/>
      <c r="AL22" s="321"/>
      <c r="AM22" s="321"/>
      <c r="AN22" s="321"/>
      <c r="AO22" s="322"/>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row>
    <row r="23" spans="1:75" ht="18.75" x14ac:dyDescent="0.3">
      <c r="A23" s="38"/>
      <c r="B23" s="294"/>
      <c r="C23" s="294"/>
      <c r="D23" s="295"/>
      <c r="E23" s="298"/>
      <c r="F23" s="299"/>
      <c r="G23" s="299"/>
      <c r="H23" s="299"/>
      <c r="I23" s="299"/>
      <c r="J23" s="117" t="str">
        <f ca="1">+IF(AND('Mapa de Riesgos'!$Y$9="Media",'Mapa de Riesgos'!$AA$9="AAeve"),CONCATENATE("R",'Mapa de Riesgos'!$A$9),"")</f>
        <v/>
      </c>
      <c r="K23" s="104" t="str">
        <f ca="1">+IF(AND('Mapa de Riesgos'!$Y$28="Media",'Mapa de Riesgos'!$AA$28="AAeve"),CONCATENATE("R",'Mapa de Riesgos'!$A$28),"")</f>
        <v/>
      </c>
      <c r="L23" s="104" t="str">
        <f ca="1">+IF(AND('Mapa de Riesgos'!$Y$40="Media",'Mapa de Riesgos'!$AA$40="AAeve"),CONCATENATE("R",'Mapa de Riesgos'!$A$40),"")</f>
        <v/>
      </c>
      <c r="M23" s="104" t="str">
        <f ca="1">+IF(AND('Mapa de Riesgos'!$Y$56="Media",'Mapa de Riesgos'!$AA$56="AAeve"),CONCATENATE("R",'Mapa de Riesgos'!$A$56),"")</f>
        <v/>
      </c>
      <c r="N23" s="118" t="str">
        <f ca="1">+IF(AND('Mapa de Riesgos'!$Y$68="Media",'Mapa de Riesgos'!$AA$68="AAeve"),CONCATENATE("R",'Mapa de Riesgos'!$A$68),"")</f>
        <v/>
      </c>
      <c r="O23" s="104" t="str">
        <f ca="1">+IF(AND('Mapa de Riesgos'!$Y$9="Media",'Mapa de Riesgos'!$AA$9="Menor"),CONCATENATE("R",'Mapa de Riesgos'!$A$9),"")</f>
        <v/>
      </c>
      <c r="P23" s="104" t="str">
        <f ca="1">+IF(AND('Mapa de Riesgos'!$Y$28="Media",'Mapa de Riesgos'!$AA$28="Menor"),CONCATENATE("R",'Mapa de Riesgos'!$A$28),"")</f>
        <v/>
      </c>
      <c r="Q23" s="104" t="str">
        <f ca="1">+IF(AND('Mapa de Riesgos'!$Y$40="Media",'Mapa de Riesgos'!$AA$40="Menor"),CONCATENATE("R",'Mapa de Riesgos'!$A$40),"")</f>
        <v/>
      </c>
      <c r="R23" s="104" t="str">
        <f ca="1">+IF(AND('Mapa de Riesgos'!$Y$56="Media",'Mapa de Riesgos'!$AA$56="Menor"),CONCATENATE("R",'Mapa de Riesgos'!$A$56),"")</f>
        <v/>
      </c>
      <c r="S23" s="104" t="str">
        <f ca="1">+IF(AND('Mapa de Riesgos'!$Y$68="Media",'Mapa de Riesgos'!$AA$68="Menor"),CONCATENATE("R",'Mapa de Riesgos'!$A$68),"")</f>
        <v>R34</v>
      </c>
      <c r="T23" s="117" t="str">
        <f ca="1">+IF(AND('Mapa de Riesgos'!$Y$9="Media",'Mapa de Riesgos'!$AA$9="Moderado"),CONCATENATE("R",'Mapa de Riesgos'!$A$9),"")</f>
        <v/>
      </c>
      <c r="U23" s="104" t="str">
        <f ca="1">+IF(AND('Mapa de Riesgos'!$Y$28="Media",'Mapa de Riesgos'!$AA$28="Moderado"),CONCATENATE("R",'Mapa de Riesgos'!$A$28),"")</f>
        <v/>
      </c>
      <c r="V23" s="104" t="str">
        <f ca="1">+IF(AND('Mapa de Riesgos'!$Y$40="Media",'Mapa de Riesgos'!$AA$40="Moderado"),CONCATENATE("R",'Mapa de Riesgos'!$A$40),"")</f>
        <v/>
      </c>
      <c r="W23" s="104" t="str">
        <f ca="1">+IF(AND('Mapa de Riesgos'!$Y$56="Media",'Mapa de Riesgos'!$AA$56="Moderado"),CONCATENATE("R",'Mapa de Riesgos'!$A$56),"")</f>
        <v/>
      </c>
      <c r="X23" s="118" t="str">
        <f ca="1">+IF(AND('Mapa de Riesgos'!$Y$68="Media",'Mapa de Riesgos'!$AA$68="Moderado"),CONCATENATE("R",'Mapa de Riesgos'!$A$68),"")</f>
        <v/>
      </c>
      <c r="Y23" s="102" t="str">
        <f ca="1">+IF(AND('Mapa de Riesgos'!$Y$9="Media",'Mapa de Riesgos'!$AA$9="Mayor"),CONCATENATE("R",'Mapa de Riesgos'!$A$9),"")</f>
        <v/>
      </c>
      <c r="Z23" s="102" t="str">
        <f ca="1">+IF(AND('Mapa de Riesgos'!$Y$28="Media",'Mapa de Riesgos'!$AA$28="Mayor"),CONCATENATE("R",'Mapa de Riesgos'!$A$28),"")</f>
        <v/>
      </c>
      <c r="AA23" s="102" t="str">
        <f ca="1">+IF(AND('Mapa de Riesgos'!$Y$40="Media",'Mapa de Riesgos'!$AA$40="Mayor"),CONCATENATE("R",'Mapa de Riesgos'!$A$40),"")</f>
        <v/>
      </c>
      <c r="AB23" s="102" t="str">
        <f ca="1">+IF(AND('Mapa de Riesgos'!$Y$56="Media",'Mapa de Riesgos'!$AA$56="Mayor"),CONCATENATE("R",'Mapa de Riesgos'!$A$56),"")</f>
        <v/>
      </c>
      <c r="AC23" s="102" t="str">
        <f ca="1">+IF(AND('Mapa de Riesgos'!$Y$68="Media",'Mapa de Riesgos'!$AA$68="Mayor"),CONCATENATE("R",'Mapa de Riesgos'!$A$68),"")</f>
        <v/>
      </c>
      <c r="AD23" s="133" t="str">
        <f ca="1">+IF(AND('Mapa de Riesgos'!$Y$9="Media",'Mapa de Riesgos'!$AA$9="Catastrófico"),CONCATENATE("R",'Mapa de Riesgos'!$A$9),"")</f>
        <v/>
      </c>
      <c r="AE23" s="103" t="str">
        <f ca="1">+IF(AND('Mapa de Riesgos'!$Y$28="Media",'Mapa de Riesgos'!$AA$28="Catastrófico"),CONCATENATE("R",'Mapa de Riesgos'!$A$28),"")</f>
        <v/>
      </c>
      <c r="AF23" s="103" t="str">
        <f ca="1">+IF(AND('Mapa de Riesgos'!$Y$40="Media",'Mapa de Riesgos'!$AA$40="Catastrófico"),CONCATENATE("R",'Mapa de Riesgos'!$A$40),"")</f>
        <v/>
      </c>
      <c r="AG23" s="103" t="str">
        <f ca="1">+IF(AND('Mapa de Riesgos'!$Y$56="Media",'Mapa de Riesgos'!$AA$56="Catastrófico"),CONCATENATE("R",'Mapa de Riesgos'!$A$56),"")</f>
        <v/>
      </c>
      <c r="AH23" s="129" t="str">
        <f ca="1">+IF(AND('Mapa de Riesgos'!$Y$68="Media",'Mapa de Riesgos'!$AA$68="Catastrófico"),CONCATENATE("R",'Mapa de Riesgos'!$A$68),"")</f>
        <v/>
      </c>
      <c r="AI23" s="38"/>
      <c r="AJ23" s="323"/>
      <c r="AK23" s="324"/>
      <c r="AL23" s="324"/>
      <c r="AM23" s="324"/>
      <c r="AN23" s="324"/>
      <c r="AO23" s="325"/>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row>
    <row r="24" spans="1:75" ht="18.75" x14ac:dyDescent="0.3">
      <c r="A24" s="38"/>
      <c r="B24" s="294"/>
      <c r="C24" s="294"/>
      <c r="D24" s="295"/>
      <c r="E24" s="298"/>
      <c r="F24" s="299"/>
      <c r="G24" s="299"/>
      <c r="H24" s="299"/>
      <c r="I24" s="299"/>
      <c r="J24" s="117" t="str">
        <f ca="1">+IF(AND('Mapa de Riesgos'!$Y$15="Media",'Mapa de Riesgos'!$AA$15="AAeve"),CONCATENATE("R",'Mapa de Riesgos'!$A$15),"")</f>
        <v/>
      </c>
      <c r="K24" s="104" t="str">
        <f ca="1">+IF(AND('Mapa de Riesgos'!$Y$29="Media",'Mapa de Riesgos'!$AA$29="AAeve"),CONCATENATE("R",'Mapa de Riesgos'!$A$29),"")</f>
        <v/>
      </c>
      <c r="L24" s="104" t="str">
        <f ca="1">+IF(AND('Mapa de Riesgos'!$Y$42="Media",'Mapa de Riesgos'!$AA$42="AAeve"),CONCATENATE("R",'Mapa de Riesgos'!$A$42),"")</f>
        <v/>
      </c>
      <c r="M24" s="104" t="str">
        <f ca="1">+IF(AND('Mapa de Riesgos'!$Y$57="Media",'Mapa de Riesgos'!$AA$57="AAeve"),CONCATENATE("R",'Mapa de Riesgos'!$A$57),"")</f>
        <v/>
      </c>
      <c r="N24" s="118" t="str">
        <f ca="1">+IF(AND('Mapa de Riesgos'!$Y$70="Media",'Mapa de Riesgos'!$AA$70="AAeve"),CONCATENATE("R",'Mapa de Riesgos'!$A$70),"")</f>
        <v/>
      </c>
      <c r="O24" s="104" t="str">
        <f ca="1">+IF(AND('Mapa de Riesgos'!$Y$15="Media",'Mapa de Riesgos'!$AA$15="Menor"),CONCATENATE("R",'Mapa de Riesgos'!$A$15),"")</f>
        <v/>
      </c>
      <c r="P24" s="104" t="str">
        <f ca="1">+IF(AND('Mapa de Riesgos'!$Y$29="Media",'Mapa de Riesgos'!$AA$29="Menor"),CONCATENATE("R",'Mapa de Riesgos'!$A$29),"")</f>
        <v/>
      </c>
      <c r="Q24" s="104" t="str">
        <f ca="1">+IF(AND('Mapa de Riesgos'!$Y$42="Media",'Mapa de Riesgos'!$AA$42="Menor"),CONCATENATE("R",'Mapa de Riesgos'!$A$42),"")</f>
        <v/>
      </c>
      <c r="R24" s="104" t="str">
        <f ca="1">+IF(AND('Mapa de Riesgos'!$Y$57="Media",'Mapa de Riesgos'!$AA$57="Menor"),CONCATENATE("R",'Mapa de Riesgos'!$A$57),"")</f>
        <v/>
      </c>
      <c r="S24" s="104" t="str">
        <f ca="1">+IF(AND('Mapa de Riesgos'!$Y$70="Media",'Mapa de Riesgos'!$AA$70="Menor"),CONCATENATE("R",'Mapa de Riesgos'!$A$70),"")</f>
        <v>R35</v>
      </c>
      <c r="T24" s="117" t="str">
        <f ca="1">+IF(AND('Mapa de Riesgos'!$Y$15="Media",'Mapa de Riesgos'!$AA$15="Moderado"),CONCATENATE("R",'Mapa de Riesgos'!$A$15),"")</f>
        <v/>
      </c>
      <c r="U24" s="104" t="str">
        <f ca="1">+IF(AND('Mapa de Riesgos'!$Y$29="Media",'Mapa de Riesgos'!$AA$29="Moderado"),CONCATENATE("R",'Mapa de Riesgos'!$A$29),"")</f>
        <v/>
      </c>
      <c r="V24" s="104" t="str">
        <f ca="1">+IF(AND('Mapa de Riesgos'!$Y$42="Media",'Mapa de Riesgos'!$AA$42="Moderado"),CONCATENATE("R",'Mapa de Riesgos'!$A$42),"")</f>
        <v/>
      </c>
      <c r="W24" s="104" t="str">
        <f ca="1">+IF(AND('Mapa de Riesgos'!$Y$57="Media",'Mapa de Riesgos'!$AA$57="Moderado"),CONCATENATE("R",'Mapa de Riesgos'!$A$57),"")</f>
        <v/>
      </c>
      <c r="X24" s="118" t="str">
        <f ca="1">+IF(AND('Mapa de Riesgos'!$Y$70="Media",'Mapa de Riesgos'!$AA$70="Moderado"),CONCATENATE("R",'Mapa de Riesgos'!$A$70),"")</f>
        <v/>
      </c>
      <c r="Y24" s="102" t="str">
        <f ca="1">+IF(AND('Mapa de Riesgos'!$Y$15="Media",'Mapa de Riesgos'!$AA$15="Mayor"),CONCATENATE("R",'Mapa de Riesgos'!$A$15),"")</f>
        <v/>
      </c>
      <c r="Z24" s="102" t="str">
        <f ca="1">+IF(AND('Mapa de Riesgos'!$Y$29="Media",'Mapa de Riesgos'!$AA$29="Mayor"),CONCATENATE("R",'Mapa de Riesgos'!$A$29),"")</f>
        <v/>
      </c>
      <c r="AA24" s="102" t="str">
        <f ca="1">+IF(AND('Mapa de Riesgos'!$Y$42="Media",'Mapa de Riesgos'!$AA$42="Mayor"),CONCATENATE("R",'Mapa de Riesgos'!$A$42),"")</f>
        <v/>
      </c>
      <c r="AB24" s="102" t="str">
        <f ca="1">+IF(AND('Mapa de Riesgos'!$Y$57="Media",'Mapa de Riesgos'!$AA$57="Mayor"),CONCATENATE("R",'Mapa de Riesgos'!$A$57),"")</f>
        <v/>
      </c>
      <c r="AC24" s="102" t="str">
        <f ca="1">+IF(AND('Mapa de Riesgos'!$Y$70="Media",'Mapa de Riesgos'!$AA$70="Mayor"),CONCATENATE("R",'Mapa de Riesgos'!$A$70),"")</f>
        <v/>
      </c>
      <c r="AD24" s="133" t="str">
        <f ca="1">+IF(AND('Mapa de Riesgos'!$Y$15="Media",'Mapa de Riesgos'!$AA$15="Catastrófico"),CONCATENATE("R",'Mapa de Riesgos'!$A$15),"")</f>
        <v/>
      </c>
      <c r="AE24" s="103" t="str">
        <f ca="1">+IF(AND('Mapa de Riesgos'!$Y$29="Media",'Mapa de Riesgos'!$AA$29="Catastrófico"),CONCATENATE("R",'Mapa de Riesgos'!$A$29),"")</f>
        <v/>
      </c>
      <c r="AF24" s="103" t="str">
        <f ca="1">+IF(AND('Mapa de Riesgos'!$Y$42="Media",'Mapa de Riesgos'!$AA$42="Catastrófico"),CONCATENATE("R",'Mapa de Riesgos'!$A$42),"")</f>
        <v/>
      </c>
      <c r="AG24" s="103" t="str">
        <f ca="1">+IF(AND('Mapa de Riesgos'!$Y$57="Media",'Mapa de Riesgos'!$AA$57="Catastrófico"),CONCATENATE("R",'Mapa de Riesgos'!$A$57),"")</f>
        <v/>
      </c>
      <c r="AH24" s="129" t="str">
        <f ca="1">+IF(AND('Mapa de Riesgos'!$Y$70="Media",'Mapa de Riesgos'!$AA$70="Catastrófico"),CONCATENATE("R",'Mapa de Riesgos'!$A$70),"")</f>
        <v/>
      </c>
      <c r="AI24" s="38"/>
      <c r="AJ24" s="323"/>
      <c r="AK24" s="324"/>
      <c r="AL24" s="324"/>
      <c r="AM24" s="324"/>
      <c r="AN24" s="324"/>
      <c r="AO24" s="325"/>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row>
    <row r="25" spans="1:75" ht="18.75" x14ac:dyDescent="0.3">
      <c r="A25" s="38"/>
      <c r="B25" s="294"/>
      <c r="C25" s="294"/>
      <c r="D25" s="295"/>
      <c r="E25" s="298"/>
      <c r="F25" s="299"/>
      <c r="G25" s="299"/>
      <c r="H25" s="299"/>
      <c r="I25" s="299"/>
      <c r="J25" s="117" t="str">
        <f ca="1">+IF(AND('Mapa de Riesgos'!$Y$17="Media",'Mapa de Riesgos'!$AA$17="AAeve"),CONCATENATE("R",'Mapa de Riesgos'!$A$17),"")</f>
        <v/>
      </c>
      <c r="K25" s="104" t="str">
        <f ca="1">+IF(AND('Mapa de Riesgos'!$Y$30="Media",'Mapa de Riesgos'!$AA$30="AAeve"),CONCATENATE("R",'Mapa de Riesgos'!$A$30),"")</f>
        <v/>
      </c>
      <c r="L25" s="104" t="str">
        <f ca="1">+IF(AND('Mapa de Riesgos'!$Y$44="Media",'Mapa de Riesgos'!$AA$44="AAeve"),CONCATENATE("R",'Mapa de Riesgos'!$A$44),"")</f>
        <v/>
      </c>
      <c r="M25" s="104" t="str">
        <f ca="1">+IF(AND('Mapa de Riesgos'!$Y$58="Media",'Mapa de Riesgos'!$AA$58="AAeve"),CONCATENATE("R",'Mapa de Riesgos'!$A$58),"")</f>
        <v/>
      </c>
      <c r="N25" s="118" t="str">
        <f ca="1">+IF(AND('Mapa de Riesgos'!$Y$72="Media",'Mapa de Riesgos'!$AA$72="AAeve"),CONCATENATE("R",'Mapa de Riesgos'!$A$72),"")</f>
        <v/>
      </c>
      <c r="O25" s="104" t="str">
        <f ca="1">+IF(AND('Mapa de Riesgos'!$Y$17="Media",'Mapa de Riesgos'!$AA$17="Menor"),CONCATENATE("R",'Mapa de Riesgos'!$A$17),"")</f>
        <v/>
      </c>
      <c r="P25" s="104" t="str">
        <f ca="1">+IF(AND('Mapa de Riesgos'!$Y$30="Media",'Mapa de Riesgos'!$AA$30="Menor"),CONCATENATE("R",'Mapa de Riesgos'!$A$30),"")</f>
        <v/>
      </c>
      <c r="Q25" s="104" t="str">
        <f ca="1">+IF(AND('Mapa de Riesgos'!$Y$44="Media",'Mapa de Riesgos'!$AA$44="Menor"),CONCATENATE("R",'Mapa de Riesgos'!$A$44),"")</f>
        <v/>
      </c>
      <c r="R25" s="104" t="str">
        <f ca="1">+IF(AND('Mapa de Riesgos'!$Y$58="Media",'Mapa de Riesgos'!$AA$58="Menor"),CONCATENATE("R",'Mapa de Riesgos'!$A$58),"")</f>
        <v/>
      </c>
      <c r="S25" s="104" t="str">
        <f ca="1">+IF(AND('Mapa de Riesgos'!$Y$72="Media",'Mapa de Riesgos'!$AA$72="Menor"),CONCATENATE("R",'Mapa de Riesgos'!$A$72),"")</f>
        <v/>
      </c>
      <c r="T25" s="117" t="str">
        <f ca="1">+IF(AND('Mapa de Riesgos'!$Y$17="Media",'Mapa de Riesgos'!$AA$17="Moderado"),CONCATENATE("R",'Mapa de Riesgos'!$A$17),"")</f>
        <v/>
      </c>
      <c r="U25" s="104" t="str">
        <f ca="1">+IF(AND('Mapa de Riesgos'!$Y$30="Media",'Mapa de Riesgos'!$AA$30="Moderado"),CONCATENATE("R",'Mapa de Riesgos'!$A$30),"")</f>
        <v/>
      </c>
      <c r="V25" s="104" t="str">
        <f ca="1">+IF(AND('Mapa de Riesgos'!$Y$44="Media",'Mapa de Riesgos'!$AA$44="Moderado"),CONCATENATE("R",'Mapa de Riesgos'!$A$44),"")</f>
        <v/>
      </c>
      <c r="W25" s="104" t="str">
        <f ca="1">+IF(AND('Mapa de Riesgos'!$Y$58="Media",'Mapa de Riesgos'!$AA$58="Moderado"),CONCATENATE("R",'Mapa de Riesgos'!$A$58),"")</f>
        <v/>
      </c>
      <c r="X25" s="118" t="str">
        <f ca="1">+IF(AND('Mapa de Riesgos'!$Y$72="Media",'Mapa de Riesgos'!$AA$72="Moderado"),CONCATENATE("R",'Mapa de Riesgos'!$A$72),"")</f>
        <v/>
      </c>
      <c r="Y25" s="102" t="str">
        <f ca="1">+IF(AND('Mapa de Riesgos'!$Y$17="Media",'Mapa de Riesgos'!$AA$17="Mayor"),CONCATENATE("R",'Mapa de Riesgos'!$A$17),"")</f>
        <v/>
      </c>
      <c r="Z25" s="102" t="str">
        <f ca="1">+IF(AND('Mapa de Riesgos'!$Y$30="Media",'Mapa de Riesgos'!$AA$30="Mayor"),CONCATENATE("R",'Mapa de Riesgos'!$A$30),"")</f>
        <v/>
      </c>
      <c r="AA25" s="102" t="str">
        <f ca="1">+IF(AND('Mapa de Riesgos'!$Y$44="Media",'Mapa de Riesgos'!$AA$44="Mayor"),CONCATENATE("R",'Mapa de Riesgos'!$A$44),"")</f>
        <v/>
      </c>
      <c r="AB25" s="102" t="str">
        <f ca="1">+IF(AND('Mapa de Riesgos'!$Y$58="Media",'Mapa de Riesgos'!$AA$58="Mayor"),CONCATENATE("R",'Mapa de Riesgos'!$A$58),"")</f>
        <v/>
      </c>
      <c r="AC25" s="102" t="str">
        <f ca="1">+IF(AND('Mapa de Riesgos'!$Y$72="Media",'Mapa de Riesgos'!$AA$72="Mayor"),CONCATENATE("R",'Mapa de Riesgos'!$A$72),"")</f>
        <v/>
      </c>
      <c r="AD25" s="133" t="str">
        <f ca="1">+IF(AND('Mapa de Riesgos'!$Y$17="Media",'Mapa de Riesgos'!$AA$17="Catastrófico"),CONCATENATE("R",'Mapa de Riesgos'!$A$17),"")</f>
        <v/>
      </c>
      <c r="AE25" s="103" t="str">
        <f ca="1">+IF(AND('Mapa de Riesgos'!$Y$30="Media",'Mapa de Riesgos'!$AA$30="Catastrófico"),CONCATENATE("R",'Mapa de Riesgos'!$A$30),"")</f>
        <v/>
      </c>
      <c r="AF25" s="103" t="str">
        <f ca="1">+IF(AND('Mapa de Riesgos'!$Y$44="Media",'Mapa de Riesgos'!$AA$44="Catastrófico"),CONCATENATE("R",'Mapa de Riesgos'!$A$44),"")</f>
        <v/>
      </c>
      <c r="AG25" s="103" t="str">
        <f ca="1">+IF(AND('Mapa de Riesgos'!$Y$58="Media",'Mapa de Riesgos'!$AA$58="Catastrófico"),CONCATENATE("R",'Mapa de Riesgos'!$A$58),"")</f>
        <v/>
      </c>
      <c r="AH25" s="129" t="str">
        <f ca="1">+IF(AND('Mapa de Riesgos'!$Y$72="Media",'Mapa de Riesgos'!$AA$72="Catastrófico"),CONCATENATE("R",'Mapa de Riesgos'!$A$72),"")</f>
        <v/>
      </c>
      <c r="AI25" s="38"/>
      <c r="AJ25" s="323"/>
      <c r="AK25" s="324"/>
      <c r="AL25" s="324"/>
      <c r="AM25" s="324"/>
      <c r="AN25" s="324"/>
      <c r="AO25" s="325"/>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row>
    <row r="26" spans="1:75" ht="18.75" x14ac:dyDescent="0.3">
      <c r="A26" s="38"/>
      <c r="B26" s="294"/>
      <c r="C26" s="294"/>
      <c r="D26" s="295"/>
      <c r="E26" s="298"/>
      <c r="F26" s="299"/>
      <c r="G26" s="299"/>
      <c r="H26" s="299"/>
      <c r="I26" s="299"/>
      <c r="J26" s="117" t="str">
        <f ca="1">+IF(AND('Mapa de Riesgos'!$Y$19="Media",'Mapa de Riesgos'!$AA$19="AAeve"),CONCATENATE("R",'Mapa de Riesgos'!$A$19),"")</f>
        <v/>
      </c>
      <c r="K26" s="104" t="str">
        <f ca="1">+IF(AND('Mapa de Riesgos'!$Y$32="Media",'Mapa de Riesgos'!$AA$32="AAeve"),CONCATENATE("R",'Mapa de Riesgos'!$A$32),"")</f>
        <v/>
      </c>
      <c r="L26" s="104" t="str">
        <f ca="1">+IF(AND('Mapa de Riesgos'!$Y$45="Media",'Mapa de Riesgos'!$AA$45="AAeve"),CONCATENATE("R",'Mapa de Riesgos'!$A$45),"")</f>
        <v/>
      </c>
      <c r="M26" s="104" t="str">
        <f ca="1">+IF(AND('Mapa de Riesgos'!$Y$60="Media",'Mapa de Riesgos'!$AA$60="AAeve"),CONCATENATE("R",'Mapa de Riesgos'!$A$60),"")</f>
        <v/>
      </c>
      <c r="N26" s="118" t="str">
        <f>+IF(AND('Mapa de Riesgos'!$Y$76="Media",'Mapa de Riesgos'!$AA$76="AAeve"),CONCATENATE("R",'Mapa de Riesgos'!$A$76),"")</f>
        <v/>
      </c>
      <c r="O26" s="104" t="str">
        <f ca="1">+IF(AND('Mapa de Riesgos'!$Y$19="Media",'Mapa de Riesgos'!$AA$19="Menor"),CONCATENATE("R",'Mapa de Riesgos'!$A$19),"")</f>
        <v/>
      </c>
      <c r="P26" s="104" t="str">
        <f ca="1">+IF(AND('Mapa de Riesgos'!$Y$32="Media",'Mapa de Riesgos'!$AA$32="Menor"),CONCATENATE("R",'Mapa de Riesgos'!$A$32),"")</f>
        <v/>
      </c>
      <c r="Q26" s="104" t="str">
        <f ca="1">+IF(AND('Mapa de Riesgos'!$Y$45="Media",'Mapa de Riesgos'!$AA$45="Menor"),CONCATENATE("R",'Mapa de Riesgos'!$A$45),"")</f>
        <v/>
      </c>
      <c r="R26" s="104" t="str">
        <f ca="1">+IF(AND('Mapa de Riesgos'!$Y$60="Media",'Mapa de Riesgos'!$AA$60="Menor"),CONCATENATE("R",'Mapa de Riesgos'!$A$60),"")</f>
        <v/>
      </c>
      <c r="S26" s="104" t="str">
        <f>+IF(AND('Mapa de Riesgos'!$Y$76="Media",'Mapa de Riesgos'!$AA$76="Menor"),CONCATENATE("R",'Mapa de Riesgos'!$A$76),"")</f>
        <v/>
      </c>
      <c r="T26" s="117" t="str">
        <f ca="1">+IF(AND('Mapa de Riesgos'!$Y$19="Media",'Mapa de Riesgos'!$AA$19="Moderado"),CONCATENATE("R",'Mapa de Riesgos'!$A$19),"")</f>
        <v/>
      </c>
      <c r="U26" s="104" t="str">
        <f ca="1">+IF(AND('Mapa de Riesgos'!$Y$32="Media",'Mapa de Riesgos'!$AA$32="Moderado"),CONCATENATE("R",'Mapa de Riesgos'!$A$32),"")</f>
        <v/>
      </c>
      <c r="V26" s="104" t="str">
        <f ca="1">+IF(AND('Mapa de Riesgos'!$Y$45="Media",'Mapa de Riesgos'!$AA$45="Moderado"),CONCATENATE("R",'Mapa de Riesgos'!$A$45),"")</f>
        <v/>
      </c>
      <c r="W26" s="104" t="str">
        <f ca="1">+IF(AND('Mapa de Riesgos'!$Y$60="Media",'Mapa de Riesgos'!$AA$60="Moderado"),CONCATENATE("R",'Mapa de Riesgos'!$A$60),"")</f>
        <v/>
      </c>
      <c r="X26" s="118" t="str">
        <f>+IF(AND('Mapa de Riesgos'!$Y$76="Media",'Mapa de Riesgos'!$AA$76="Moderado"),CONCATENATE("R",'Mapa de Riesgos'!$A$76),"")</f>
        <v/>
      </c>
      <c r="Y26" s="102" t="str">
        <f ca="1">+IF(AND('Mapa de Riesgos'!$Y$19="Media",'Mapa de Riesgos'!$AA$19="Mayor"),CONCATENATE("R",'Mapa de Riesgos'!$A$19),"")</f>
        <v/>
      </c>
      <c r="Z26" s="102" t="str">
        <f ca="1">+IF(AND('Mapa de Riesgos'!$Y$32="Media",'Mapa de Riesgos'!$AA$32="Mayor"),CONCATENATE("R",'Mapa de Riesgos'!$A$32),"")</f>
        <v/>
      </c>
      <c r="AA26" s="102" t="str">
        <f ca="1">+IF(AND('Mapa de Riesgos'!$Y$45="Media",'Mapa de Riesgos'!$AA$45="Mayor"),CONCATENATE("R",'Mapa de Riesgos'!$A$45),"")</f>
        <v>R21</v>
      </c>
      <c r="AB26" s="102" t="str">
        <f ca="1">+IF(AND('Mapa de Riesgos'!$Y$60="Media",'Mapa de Riesgos'!$AA$60="Mayor"),CONCATENATE("R",'Mapa de Riesgos'!$A$60),"")</f>
        <v/>
      </c>
      <c r="AC26" s="102" t="str">
        <f>+IF(AND('Mapa de Riesgos'!$Y$76="Media",'Mapa de Riesgos'!$AA$76="Mayor"),CONCATENATE("R",'Mapa de Riesgos'!$A$76),"")</f>
        <v/>
      </c>
      <c r="AD26" s="133" t="str">
        <f ca="1">+IF(AND('Mapa de Riesgos'!$Y$19="Media",'Mapa de Riesgos'!$AA$19="Catastrófico"),CONCATENATE("R",'Mapa de Riesgos'!$A$19),"")</f>
        <v/>
      </c>
      <c r="AE26" s="103" t="str">
        <f ca="1">+IF(AND('Mapa de Riesgos'!$Y$32="Media",'Mapa de Riesgos'!$AA$32="Catastrófico"),CONCATENATE("R",'Mapa de Riesgos'!$A$32),"")</f>
        <v/>
      </c>
      <c r="AF26" s="103" t="str">
        <f ca="1">+IF(AND('Mapa de Riesgos'!$Y$45="Media",'Mapa de Riesgos'!$AA$45="Catastrófico"),CONCATENATE("R",'Mapa de Riesgos'!$A$45),"")</f>
        <v/>
      </c>
      <c r="AG26" s="103" t="str">
        <f ca="1">+IF(AND('Mapa de Riesgos'!$Y$60="Media",'Mapa de Riesgos'!$AA$60="Catastrófico"),CONCATENATE("R",'Mapa de Riesgos'!$A$60),"")</f>
        <v/>
      </c>
      <c r="AH26" s="129" t="str">
        <f>+IF(AND('Mapa de Riesgos'!$Y$76="Media",'Mapa de Riesgos'!$AA$76="Catastrófico"),CONCATENATE("R",'Mapa de Riesgos'!$A$76),"")</f>
        <v/>
      </c>
      <c r="AI26" s="38"/>
      <c r="AJ26" s="323"/>
      <c r="AK26" s="324"/>
      <c r="AL26" s="324"/>
      <c r="AM26" s="324"/>
      <c r="AN26" s="324"/>
      <c r="AO26" s="325"/>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row>
    <row r="27" spans="1:75" ht="18.75" x14ac:dyDescent="0.3">
      <c r="A27" s="38"/>
      <c r="B27" s="294"/>
      <c r="C27" s="294"/>
      <c r="D27" s="295"/>
      <c r="E27" s="298"/>
      <c r="F27" s="299"/>
      <c r="G27" s="299"/>
      <c r="H27" s="299"/>
      <c r="I27" s="299"/>
      <c r="J27" s="117" t="str">
        <f ca="1">+IF(AND('Mapa de Riesgos'!$Y$21="Media",'Mapa de Riesgos'!$AA$21="AAeve"),CONCATENATE("R",'Mapa de Riesgos'!$A$21),"")</f>
        <v/>
      </c>
      <c r="K27" s="104" t="str">
        <f ca="1">+IF(AND('Mapa de Riesgos'!$Y$34="Media",'Mapa de Riesgos'!$AA$34="AAeve"),CONCATENATE("R",'Mapa de Riesgos'!$A$34),"")</f>
        <v/>
      </c>
      <c r="L27" s="104" t="e">
        <f>+IF(AND('Mapa de Riesgos'!#REF!="Media",'Mapa de Riesgos'!#REF!="AAeve"),CONCATENATE("R",'Mapa de Riesgos'!#REF!),"")</f>
        <v>#REF!</v>
      </c>
      <c r="M27" s="104" t="str">
        <f ca="1">+IF(AND('Mapa de Riesgos'!$Y$61="Media",'Mapa de Riesgos'!$AA$61="AAeve"),CONCATENATE("R",'Mapa de Riesgos'!$A$61),"")</f>
        <v/>
      </c>
      <c r="N27" s="118" t="str">
        <f>+IF(AND('Mapa de Riesgos'!$Y$82="Media",'Mapa de Riesgos'!$AA$82="AAeve"),CONCATENATE("R",'Mapa de Riesgos'!$A$82),"")</f>
        <v/>
      </c>
      <c r="O27" s="104" t="str">
        <f ca="1">+IF(AND('Mapa de Riesgos'!$Y$21="Media",'Mapa de Riesgos'!$AA$21="Menor"),CONCATENATE("R",'Mapa de Riesgos'!$A$21),"")</f>
        <v>R6</v>
      </c>
      <c r="P27" s="104" t="str">
        <f ca="1">+IF(AND('Mapa de Riesgos'!$Y$34="Media",'Mapa de Riesgos'!$AA$34="Menor"),CONCATENATE("R",'Mapa de Riesgos'!$A$34),"")</f>
        <v/>
      </c>
      <c r="Q27" s="104" t="e">
        <f>+IF(AND('Mapa de Riesgos'!#REF!="Media",'Mapa de Riesgos'!#REF!="Menor"),CONCATENATE("R",'Mapa de Riesgos'!#REF!),"")</f>
        <v>#REF!</v>
      </c>
      <c r="R27" s="104" t="str">
        <f ca="1">+IF(AND('Mapa de Riesgos'!$Y$61="Media",'Mapa de Riesgos'!$AA$61="Menor"),CONCATENATE("R",'Mapa de Riesgos'!$A$61),"")</f>
        <v/>
      </c>
      <c r="S27" s="104" t="str">
        <f>+IF(AND('Mapa de Riesgos'!$Y$82="Media",'Mapa de Riesgos'!$AA$82="Menor"),CONCATENATE("R",'Mapa de Riesgos'!$A$82),"")</f>
        <v/>
      </c>
      <c r="T27" s="117" t="str">
        <f ca="1">+IF(AND('Mapa de Riesgos'!$Y$21="Media",'Mapa de Riesgos'!$AA$21="Moderado"),CONCATENATE("R",'Mapa de Riesgos'!$A$21),"")</f>
        <v/>
      </c>
      <c r="U27" s="104" t="str">
        <f ca="1">+IF(AND('Mapa de Riesgos'!$Y$34="Media",'Mapa de Riesgos'!$AA$34="Moderado"),CONCATENATE("R",'Mapa de Riesgos'!$A$34),"")</f>
        <v/>
      </c>
      <c r="V27" s="104" t="e">
        <f>+IF(AND('Mapa de Riesgos'!#REF!="Media",'Mapa de Riesgos'!#REF!="Moderado"),CONCATENATE("R",'Mapa de Riesgos'!#REF!),"")</f>
        <v>#REF!</v>
      </c>
      <c r="W27" s="104" t="str">
        <f ca="1">+IF(AND('Mapa de Riesgos'!$Y$61="Media",'Mapa de Riesgos'!$AA$61="Moderado"),CONCATENATE("R",'Mapa de Riesgos'!$A$61),"")</f>
        <v/>
      </c>
      <c r="X27" s="118" t="str">
        <f>+IF(AND('Mapa de Riesgos'!$Y$82="Media",'Mapa de Riesgos'!$AA$82="Moderado"),CONCATENATE("R",'Mapa de Riesgos'!$A$82),"")</f>
        <v/>
      </c>
      <c r="Y27" s="102" t="str">
        <f ca="1">+IF(AND('Mapa de Riesgos'!$Y$21="Media",'Mapa de Riesgos'!$AA$21="Mayor"),CONCATENATE("R",'Mapa de Riesgos'!$A$21),"")</f>
        <v/>
      </c>
      <c r="Z27" s="102" t="str">
        <f ca="1">+IF(AND('Mapa de Riesgos'!$Y$34="Media",'Mapa de Riesgos'!$AA$34="Mayor"),CONCATENATE("R",'Mapa de Riesgos'!$A$34),"")</f>
        <v/>
      </c>
      <c r="AA27" s="102" t="e">
        <f>+IF(AND('Mapa de Riesgos'!#REF!="Media",'Mapa de Riesgos'!#REF!="Mayor"),CONCATENATE("R",'Mapa de Riesgos'!#REF!),"")</f>
        <v>#REF!</v>
      </c>
      <c r="AB27" s="102" t="str">
        <f ca="1">+IF(AND('Mapa de Riesgos'!$Y$61="Media",'Mapa de Riesgos'!$AA$61="Mayor"),CONCATENATE("R",'Mapa de Riesgos'!$A$61),"")</f>
        <v/>
      </c>
      <c r="AC27" s="102" t="str">
        <f>+IF(AND('Mapa de Riesgos'!$Y$82="Media",'Mapa de Riesgos'!$AA$82="Mayor"),CONCATENATE("R",'Mapa de Riesgos'!$A$82),"")</f>
        <v/>
      </c>
      <c r="AD27" s="133" t="str">
        <f ca="1">+IF(AND('Mapa de Riesgos'!$Y$21="Media",'Mapa de Riesgos'!$AA$21="Catastrófico"),CONCATENATE("R",'Mapa de Riesgos'!$A$21),"")</f>
        <v/>
      </c>
      <c r="AE27" s="103" t="str">
        <f ca="1">+IF(AND('Mapa de Riesgos'!$Y$34="Media",'Mapa de Riesgos'!$AA$34="Catastrófico"),CONCATENATE("R",'Mapa de Riesgos'!$A$34),"")</f>
        <v/>
      </c>
      <c r="AF27" s="103" t="e">
        <f>+IF(AND('Mapa de Riesgos'!#REF!="Media",'Mapa de Riesgos'!#REF!="Catastrófico"),CONCATENATE("R",'Mapa de Riesgos'!#REF!),"")</f>
        <v>#REF!</v>
      </c>
      <c r="AG27" s="103" t="str">
        <f ca="1">+IF(AND('Mapa de Riesgos'!$Y$61="Media",'Mapa de Riesgos'!$AA$61="Catastrófico"),CONCATENATE("R",'Mapa de Riesgos'!$A$61),"")</f>
        <v/>
      </c>
      <c r="AH27" s="129" t="str">
        <f>+IF(AND('Mapa de Riesgos'!$Y$82="Media",'Mapa de Riesgos'!$AA$82="Catastrófico"),CONCATENATE("R",'Mapa de Riesgos'!$A$82),"")</f>
        <v/>
      </c>
      <c r="AI27" s="38"/>
      <c r="AJ27" s="323"/>
      <c r="AK27" s="324"/>
      <c r="AL27" s="324"/>
      <c r="AM27" s="324"/>
      <c r="AN27" s="324"/>
      <c r="AO27" s="325"/>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row>
    <row r="28" spans="1:75" ht="18.75" x14ac:dyDescent="0.3">
      <c r="A28" s="38"/>
      <c r="B28" s="294"/>
      <c r="C28" s="294"/>
      <c r="D28" s="295"/>
      <c r="E28" s="298"/>
      <c r="F28" s="299"/>
      <c r="G28" s="299"/>
      <c r="H28" s="299"/>
      <c r="I28" s="299"/>
      <c r="J28" s="117" t="str">
        <f ca="1">+IF(AND('Mapa de Riesgos'!$Y$23="Media",'Mapa de Riesgos'!$AA$23="AAeve"),CONCATENATE("R",'Mapa de Riesgos'!$A$23),"")</f>
        <v/>
      </c>
      <c r="K28" s="104" t="str">
        <f ca="1">+IF(AND('Mapa de Riesgos'!$Y$36="Media",'Mapa de Riesgos'!$AA$36="AAeve"),CONCATENATE("R",'Mapa de Riesgos'!$A$36),"")</f>
        <v/>
      </c>
      <c r="L28" s="104" t="str">
        <f ca="1">+IF(AND('Mapa de Riesgos'!$Y$48="Media",'Mapa de Riesgos'!$AA$48="AAeve"),CONCATENATE("R",'Mapa de Riesgos'!$A$48),"")</f>
        <v/>
      </c>
      <c r="M28" s="104" t="str">
        <f ca="1">+IF(AND('Mapa de Riesgos'!$Y$63="Media",'Mapa de Riesgos'!$AA$63="AAeve"),CONCATENATE("R",'Mapa de Riesgos'!$A$63),"")</f>
        <v/>
      </c>
      <c r="N28" s="118" t="str">
        <f>+IF(AND('Mapa de Riesgos'!$Y$88="Media",'Mapa de Riesgos'!$AA$88="AAeve"),CONCATENATE("R",'Mapa de Riesgos'!$A$88),"")</f>
        <v/>
      </c>
      <c r="O28" s="104" t="str">
        <f ca="1">+IF(AND('Mapa de Riesgos'!$Y$23="Media",'Mapa de Riesgos'!$AA$23="Menor"),CONCATENATE("R",'Mapa de Riesgos'!$A$23),"")</f>
        <v/>
      </c>
      <c r="P28" s="104" t="str">
        <f ca="1">+IF(AND('Mapa de Riesgos'!$Y$36="Media",'Mapa de Riesgos'!$AA$36="Menor"),CONCATENATE("R",'Mapa de Riesgos'!$A$36),"")</f>
        <v/>
      </c>
      <c r="Q28" s="104" t="str">
        <f ca="1">+IF(AND('Mapa de Riesgos'!$Y$48="Media",'Mapa de Riesgos'!$AA$48="Menor"),CONCATENATE("R",'Mapa de Riesgos'!$A$48),"")</f>
        <v/>
      </c>
      <c r="R28" s="104" t="str">
        <f ca="1">+IF(AND('Mapa de Riesgos'!$Y$63="Media",'Mapa de Riesgos'!$AA$63="Menor"),CONCATENATE("R",'Mapa de Riesgos'!$A$63),"")</f>
        <v/>
      </c>
      <c r="S28" s="104" t="str">
        <f>+IF(AND('Mapa de Riesgos'!$Y$88="Media",'Mapa de Riesgos'!$AA$88="Menor"),CONCATENATE("R",'Mapa de Riesgos'!$A$88),"")</f>
        <v/>
      </c>
      <c r="T28" s="117" t="str">
        <f ca="1">+IF(AND('Mapa de Riesgos'!$Y$23="Media",'Mapa de Riesgos'!$AA$23="Moderado"),CONCATENATE("R",'Mapa de Riesgos'!$A$23),"")</f>
        <v/>
      </c>
      <c r="U28" s="104" t="str">
        <f ca="1">+IF(AND('Mapa de Riesgos'!$Y$36="Media",'Mapa de Riesgos'!$AA$36="Moderado"),CONCATENATE("R",'Mapa de Riesgos'!$A$36),"")</f>
        <v/>
      </c>
      <c r="V28" s="104" t="str">
        <f ca="1">+IF(AND('Mapa de Riesgos'!$Y$48="Media",'Mapa de Riesgos'!$AA$48="Moderado"),CONCATENATE("R",'Mapa de Riesgos'!$A$48),"")</f>
        <v/>
      </c>
      <c r="W28" s="104" t="str">
        <f ca="1">+IF(AND('Mapa de Riesgos'!$Y$63="Media",'Mapa de Riesgos'!$AA$63="Moderado"),CONCATENATE("R",'Mapa de Riesgos'!$A$63),"")</f>
        <v/>
      </c>
      <c r="X28" s="118" t="str">
        <f>+IF(AND('Mapa de Riesgos'!$Y$88="Media",'Mapa de Riesgos'!$AA$88="Moderado"),CONCATENATE("R",'Mapa de Riesgos'!$A$88),"")</f>
        <v/>
      </c>
      <c r="Y28" s="102" t="str">
        <f ca="1">+IF(AND('Mapa de Riesgos'!$Y$23="Media",'Mapa de Riesgos'!$AA$23="Mayor"),CONCATENATE("R",'Mapa de Riesgos'!$A$23),"")</f>
        <v/>
      </c>
      <c r="Z28" s="102" t="str">
        <f ca="1">+IF(AND('Mapa de Riesgos'!$Y$36="Media",'Mapa de Riesgos'!$AA$36="Mayor"),CONCATENATE("R",'Mapa de Riesgos'!$A$36),"")</f>
        <v/>
      </c>
      <c r="AA28" s="102" t="str">
        <f ca="1">+IF(AND('Mapa de Riesgos'!$Y$48="Media",'Mapa de Riesgos'!$AA$48="Mayor"),CONCATENATE("R",'Mapa de Riesgos'!$A$48),"")</f>
        <v/>
      </c>
      <c r="AB28" s="102" t="str">
        <f ca="1">+IF(AND('Mapa de Riesgos'!$Y$63="Media",'Mapa de Riesgos'!$AA$63="Mayor"),CONCATENATE("R",'Mapa de Riesgos'!$A$63),"")</f>
        <v/>
      </c>
      <c r="AC28" s="102" t="str">
        <f>+IF(AND('Mapa de Riesgos'!$Y$88="Media",'Mapa de Riesgos'!$AA$88="Mayor"),CONCATENATE("R",'Mapa de Riesgos'!$A$88),"")</f>
        <v/>
      </c>
      <c r="AD28" s="133" t="str">
        <f ca="1">+IF(AND('Mapa de Riesgos'!$Y$23="Media",'Mapa de Riesgos'!$AA$23="Catastrófico"),CONCATENATE("R",'Mapa de Riesgos'!$A$23),"")</f>
        <v/>
      </c>
      <c r="AE28" s="103" t="str">
        <f ca="1">+IF(AND('Mapa de Riesgos'!$Y$36="Media",'Mapa de Riesgos'!$AA$36="Catastrófico"),CONCATENATE("R",'Mapa de Riesgos'!$A$36),"")</f>
        <v/>
      </c>
      <c r="AF28" s="103" t="str">
        <f ca="1">+IF(AND('Mapa de Riesgos'!$Y$48="Media",'Mapa de Riesgos'!$AA$48="Catastrófico"),CONCATENATE("R",'Mapa de Riesgos'!$A$48),"")</f>
        <v/>
      </c>
      <c r="AG28" s="103" t="str">
        <f ca="1">+IF(AND('Mapa de Riesgos'!$Y$63="Media",'Mapa de Riesgos'!$AA$63="Catastrófico"),CONCATENATE("R",'Mapa de Riesgos'!$A$63),"")</f>
        <v/>
      </c>
      <c r="AH28" s="129" t="str">
        <f>+IF(AND('Mapa de Riesgos'!$Y$88="Media",'Mapa de Riesgos'!$AA$88="Catastrófico"),CONCATENATE("R",'Mapa de Riesgos'!$A$88),"")</f>
        <v/>
      </c>
      <c r="AI28" s="38"/>
      <c r="AJ28" s="323"/>
      <c r="AK28" s="324"/>
      <c r="AL28" s="324"/>
      <c r="AM28" s="324"/>
      <c r="AN28" s="324"/>
      <c r="AO28" s="325"/>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row>
    <row r="29" spans="1:75" ht="19.5" thickBot="1" x14ac:dyDescent="0.35">
      <c r="A29" s="38"/>
      <c r="B29" s="294"/>
      <c r="C29" s="294"/>
      <c r="D29" s="295"/>
      <c r="E29" s="300"/>
      <c r="F29" s="301"/>
      <c r="G29" s="301"/>
      <c r="H29" s="301"/>
      <c r="I29" s="301"/>
      <c r="J29" s="117" t="str">
        <f ca="1">+IF(AND('Mapa de Riesgos'!$Y$26="Media",'Mapa de Riesgos'!$AA$26="AAeve"),CONCATENATE("R",'Mapa de Riesgos'!$A$26),"")</f>
        <v/>
      </c>
      <c r="K29" s="104" t="str">
        <f ca="1">+IF(AND('Mapa de Riesgos'!$Y$37="Media",'Mapa de Riesgos'!$AA$37="AAeve"),CONCATENATE("R",'Mapa de Riesgos'!$A$37),"")</f>
        <v/>
      </c>
      <c r="L29" s="104" t="str">
        <f ca="1">+IF(AND('Mapa de Riesgos'!$Y$51="Media",'Mapa de Riesgos'!$AA$51="AAeve"),CONCATENATE("R",'Mapa de Riesgos'!$A$51),"")</f>
        <v/>
      </c>
      <c r="M29" s="104" t="str">
        <f ca="1">+IF(AND('Mapa de Riesgos'!$Y$64="Media",'Mapa de Riesgos'!$AA$64="AAeve"),CONCATENATE("R",'Mapa de Riesgos'!$A$64),"")</f>
        <v/>
      </c>
      <c r="N29" s="118" t="str">
        <f>+IF(AND('Mapa de Riesgos'!$Y$94="Media",'Mapa de Riesgos'!$AA$94="AAeve"),CONCATENATE("R",'Mapa de Riesgos'!$A$94),"")</f>
        <v/>
      </c>
      <c r="O29" s="104" t="str">
        <f ca="1">+IF(AND('Mapa de Riesgos'!$Y$26="Media",'Mapa de Riesgos'!$AA$26="Menor"),CONCATENATE("R",'Mapa de Riesgos'!$A$26),"")</f>
        <v/>
      </c>
      <c r="P29" s="104" t="str">
        <f ca="1">+IF(AND('Mapa de Riesgos'!$Y$37="Media",'Mapa de Riesgos'!$AA$37="Menor"),CONCATENATE("R",'Mapa de Riesgos'!$A$37),"")</f>
        <v/>
      </c>
      <c r="Q29" s="104" t="str">
        <f ca="1">+IF(AND('Mapa de Riesgos'!$Y$51="Media",'Mapa de Riesgos'!$AA$51="Menor"),CONCATENATE("R",'Mapa de Riesgos'!$A$51),"")</f>
        <v/>
      </c>
      <c r="R29" s="104" t="str">
        <f ca="1">+IF(AND('Mapa de Riesgos'!$Y$64="Media",'Mapa de Riesgos'!$AA$64="Menor"),CONCATENATE("R",'Mapa de Riesgos'!$A$64),"")</f>
        <v>R32</v>
      </c>
      <c r="S29" s="104" t="str">
        <f>+IF(AND('Mapa de Riesgos'!$Y$94="Media",'Mapa de Riesgos'!$AA$94="Menor"),CONCATENATE("R",'Mapa de Riesgos'!$A$94),"")</f>
        <v/>
      </c>
      <c r="T29" s="117" t="str">
        <f ca="1">+IF(AND('Mapa de Riesgos'!$Y$26="Media",'Mapa de Riesgos'!$AA$26="Moderado"),CONCATENATE("R",'Mapa de Riesgos'!$A$26),"")</f>
        <v/>
      </c>
      <c r="U29" s="104" t="str">
        <f ca="1">+IF(AND('Mapa de Riesgos'!$Y$37="Media",'Mapa de Riesgos'!$AA$37="Moderado"),CONCATENATE("R",'Mapa de Riesgos'!$A$37),"")</f>
        <v/>
      </c>
      <c r="V29" s="104" t="str">
        <f ca="1">+IF(AND('Mapa de Riesgos'!$Y$51="Media",'Mapa de Riesgos'!$AA$51="Moderado"),CONCATENATE("R",'Mapa de Riesgos'!$A$51),"")</f>
        <v/>
      </c>
      <c r="W29" s="104" t="str">
        <f ca="1">+IF(AND('Mapa de Riesgos'!$Y$64="Media",'Mapa de Riesgos'!$AA$64="Moderado"),CONCATENATE("R",'Mapa de Riesgos'!$A$64),"")</f>
        <v/>
      </c>
      <c r="X29" s="118" t="str">
        <f>+IF(AND('Mapa de Riesgos'!$Y$94="Media",'Mapa de Riesgos'!$AA$94="Moderado"),CONCATENATE("R",'Mapa de Riesgos'!$A$94),"")</f>
        <v/>
      </c>
      <c r="Y29" s="102" t="str">
        <f ca="1">+IF(AND('Mapa de Riesgos'!$Y$26="Media",'Mapa de Riesgos'!$AA$26="Mayor"),CONCATENATE("R",'Mapa de Riesgos'!$A$26),"")</f>
        <v/>
      </c>
      <c r="Z29" s="102" t="str">
        <f ca="1">+IF(AND('Mapa de Riesgos'!$Y$37="Media",'Mapa de Riesgos'!$AA$37="Mayor"),CONCATENATE("R",'Mapa de Riesgos'!$A$37),"")</f>
        <v/>
      </c>
      <c r="AA29" s="102" t="str">
        <f ca="1">+IF(AND('Mapa de Riesgos'!$Y$51="Media",'Mapa de Riesgos'!$AA$51="Mayor"),CONCATENATE("R",'Mapa de Riesgos'!$A$51),"")</f>
        <v/>
      </c>
      <c r="AB29" s="102" t="str">
        <f ca="1">+IF(AND('Mapa de Riesgos'!$Y$64="Media",'Mapa de Riesgos'!$AA$64="Mayor"),CONCATENATE("R",'Mapa de Riesgos'!$A$64),"")</f>
        <v/>
      </c>
      <c r="AC29" s="102" t="str">
        <f>+IF(AND('Mapa de Riesgos'!$Y$94="Media",'Mapa de Riesgos'!$AA$94="Mayor"),CONCATENATE("R",'Mapa de Riesgos'!$A$94),"")</f>
        <v/>
      </c>
      <c r="AD29" s="133" t="str">
        <f ca="1">+IF(AND('Mapa de Riesgos'!$Y$26="Media",'Mapa de Riesgos'!$AA$26="Catastrófico"),CONCATENATE("R",'Mapa de Riesgos'!$A$26),"")</f>
        <v/>
      </c>
      <c r="AE29" s="103" t="str">
        <f ca="1">+IF(AND('Mapa de Riesgos'!$Y$37="Media",'Mapa de Riesgos'!$AA$37="Catastrófico"),CONCATENATE("R",'Mapa de Riesgos'!$A$37),"")</f>
        <v/>
      </c>
      <c r="AF29" s="103" t="str">
        <f ca="1">+IF(AND('Mapa de Riesgos'!$Y$51="Media",'Mapa de Riesgos'!$AA$51="Catastrófico"),CONCATENATE("R",'Mapa de Riesgos'!$A$51),"")</f>
        <v/>
      </c>
      <c r="AG29" s="103" t="str">
        <f ca="1">+IF(AND('Mapa de Riesgos'!$Y$64="Media",'Mapa de Riesgos'!$AA$64="Catastrófico"),CONCATENATE("R",'Mapa de Riesgos'!$A$64),"")</f>
        <v/>
      </c>
      <c r="AH29" s="129" t="str">
        <f>+IF(AND('Mapa de Riesgos'!$Y$94="Media",'Mapa de Riesgos'!$AA$94="Catastrófico"),CONCATENATE("R",'Mapa de Riesgos'!$A$94),"")</f>
        <v/>
      </c>
      <c r="AI29" s="38"/>
      <c r="AJ29" s="326"/>
      <c r="AK29" s="327"/>
      <c r="AL29" s="327"/>
      <c r="AM29" s="327"/>
      <c r="AN29" s="327"/>
      <c r="AO29" s="32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row>
    <row r="30" spans="1:75" ht="18.75" x14ac:dyDescent="0.3">
      <c r="A30" s="38"/>
      <c r="B30" s="294"/>
      <c r="C30" s="294"/>
      <c r="D30" s="295"/>
      <c r="E30" s="296" t="s">
        <v>87</v>
      </c>
      <c r="F30" s="297"/>
      <c r="G30" s="297"/>
      <c r="H30" s="297"/>
      <c r="I30" s="297"/>
      <c r="J30" s="122" t="str">
        <f ca="1">+IF(AND('Mapa de Riesgos'!$Y$7="Baja",'Mapa de Riesgos'!$AA$7="AAeve"),CONCATENATE("R",'Mapa de Riesgos'!$A$7),"")</f>
        <v/>
      </c>
      <c r="K30" s="123" t="str">
        <f ca="1">+IF(AND('Mapa de Riesgos'!$Y$27="Baja",'Mapa de Riesgos'!$AA$27="AAeve"),CONCATENATE("R",'Mapa de Riesgos'!$A$27),"")</f>
        <v/>
      </c>
      <c r="L30" s="123" t="str">
        <f ca="1">+IF(AND('Mapa de Riesgos'!$Y$39="Baja",'Mapa de Riesgos'!$AA$39="AAeve"),CONCATENATE("R",'Mapa de Riesgos'!$A$39),"")</f>
        <v/>
      </c>
      <c r="M30" s="123" t="str">
        <f ca="1">+IF(AND('Mapa de Riesgos'!$Y$53="Baja",'Mapa de Riesgos'!$AA$53="AAeve"),CONCATENATE("R",'Mapa de Riesgos'!$A$53),"")</f>
        <v/>
      </c>
      <c r="N30" s="123" t="str">
        <f ca="1">+IF(AND('Mapa de Riesgos'!$Y$66="Baja",'Mapa de Riesgos'!$AA$66="AAeve"),CONCATENATE("R",'Mapa de Riesgos'!$A$66),"")</f>
        <v/>
      </c>
      <c r="O30" s="114" t="str">
        <f ca="1">+IF(AND('Mapa de Riesgos'!$Y$7="Baja",'Mapa de Riesgos'!$AA$7="Menor"),CONCATENATE("R",'Mapa de Riesgos'!$A$7),"")</f>
        <v>R1</v>
      </c>
      <c r="P30" s="115" t="str">
        <f ca="1">+IF(AND('Mapa de Riesgos'!$Y$27="Baja",'Mapa de Riesgos'!$AA$27="Menor"),CONCATENATE("R",'Mapa de Riesgos'!$A$27),"")</f>
        <v/>
      </c>
      <c r="Q30" s="115" t="str">
        <f ca="1">+IF(AND('Mapa de Riesgos'!$Y$39="Baja",'Mapa de Riesgos'!$AA$39="Menor"),CONCATENATE("R",'Mapa de Riesgos'!$A$39),"")</f>
        <v/>
      </c>
      <c r="R30" s="115" t="str">
        <f ca="1">+IF(AND('Mapa de Riesgos'!$Y$53="Baja",'Mapa de Riesgos'!$AA$53="Menor"),CONCATENATE("R",'Mapa de Riesgos'!$A$53),"")</f>
        <v/>
      </c>
      <c r="S30" s="115" t="str">
        <f ca="1">+IF(AND('Mapa de Riesgos'!$Y$66="Baja",'Mapa de Riesgos'!$AA$66="Menor"),CONCATENATE("R",'Mapa de Riesgos'!$A$66),"")</f>
        <v/>
      </c>
      <c r="T30" s="114" t="str">
        <f ca="1">+IF(AND('Mapa de Riesgos'!$Y$7="Baja",'Mapa de Riesgos'!$AA$7="Moderado"),CONCATENATE("R",'Mapa de Riesgos'!$A$7),"")</f>
        <v/>
      </c>
      <c r="U30" s="115" t="str">
        <f ca="1">+IF(AND('Mapa de Riesgos'!$Y$27="Baja",'Mapa de Riesgos'!$AA$27="Moderado"),CONCATENATE("R",'Mapa de Riesgos'!$A$27),"")</f>
        <v/>
      </c>
      <c r="V30" s="115" t="str">
        <f ca="1">+IF(AND('Mapa de Riesgos'!$Y$39="Baja",'Mapa de Riesgos'!$AA$39="Moderado"),CONCATENATE("R",'Mapa de Riesgos'!$A$39),"")</f>
        <v>R17</v>
      </c>
      <c r="W30" s="115" t="str">
        <f ca="1">+IF(AND('Mapa de Riesgos'!$Y$53="Baja",'Mapa de Riesgos'!$AA$53="Moderado"),CONCATENATE("R",'Mapa de Riesgos'!$A$53),"")</f>
        <v/>
      </c>
      <c r="X30" s="116" t="str">
        <f ca="1">+IF(AND('Mapa de Riesgos'!$Y$66="Baja",'Mapa de Riesgos'!$AA$66="Moderado"),CONCATENATE("R",'Mapa de Riesgos'!$A$66),"")</f>
        <v/>
      </c>
      <c r="Y30" s="107" t="str">
        <f ca="1">+IF(AND('Mapa de Riesgos'!$Y$7="Baja",'Mapa de Riesgos'!$AA$7="Mayor"),CONCATENATE("R",'Mapa de Riesgos'!$A$7),"")</f>
        <v/>
      </c>
      <c r="Z30" s="107" t="str">
        <f ca="1">+IF(AND('Mapa de Riesgos'!$Y$27="Baja",'Mapa de Riesgos'!$AA$27="Mayor"),CONCATENATE("R",'Mapa de Riesgos'!$A$27),"")</f>
        <v>R9</v>
      </c>
      <c r="AA30" s="107" t="str">
        <f ca="1">+IF(AND('Mapa de Riesgos'!$Y$39="Baja",'Mapa de Riesgos'!$AA$39="Mayor"),CONCATENATE("R",'Mapa de Riesgos'!$A$39),"")</f>
        <v/>
      </c>
      <c r="AB30" s="107" t="str">
        <f ca="1">+IF(AND('Mapa de Riesgos'!$Y$53="Baja",'Mapa de Riesgos'!$AA$53="Mayor"),CONCATENATE("R",'Mapa de Riesgos'!$A$53),"")</f>
        <v/>
      </c>
      <c r="AC30" s="107" t="str">
        <f ca="1">+IF(AND('Mapa de Riesgos'!$Y$66="Baja",'Mapa de Riesgos'!$AA$66="Mayor"),CONCATENATE("R",'Mapa de Riesgos'!$A$66),"")</f>
        <v/>
      </c>
      <c r="AD30" s="132" t="str">
        <f ca="1">+IF(AND('Mapa de Riesgos'!$Y$7="Baja",'Mapa de Riesgos'!$AA$7="Catastrófico"),CONCATENATE("R",'Mapa de Riesgos'!$A$7),"")</f>
        <v/>
      </c>
      <c r="AE30" s="127" t="str">
        <f ca="1">+IF(AND('Mapa de Riesgos'!$Y$27="Baja",'Mapa de Riesgos'!$AA$27="Catastrófico"),CONCATENATE("R",'Mapa de Riesgos'!$A$27),"")</f>
        <v/>
      </c>
      <c r="AF30" s="127" t="str">
        <f ca="1">+IF(AND('Mapa de Riesgos'!$Y$39="Baja",'Mapa de Riesgos'!$AA$39="Catastrófico"),CONCATENATE("R",'Mapa de Riesgos'!$A$39),"")</f>
        <v/>
      </c>
      <c r="AG30" s="127" t="str">
        <f ca="1">+IF(AND('Mapa de Riesgos'!$Y$53="Baja",'Mapa de Riesgos'!$AA$53="Catastrófico"),CONCATENATE("R",'Mapa de Riesgos'!$A$53),"")</f>
        <v/>
      </c>
      <c r="AH30" s="128" t="str">
        <f ca="1">+IF(AND('Mapa de Riesgos'!$Y$66="Baja",'Mapa de Riesgos'!$AA$66="Catastrófico"),CONCATENATE("R",'Mapa de Riesgos'!$A$66),"")</f>
        <v/>
      </c>
      <c r="AI30" s="38"/>
      <c r="AJ30" s="329" t="s">
        <v>88</v>
      </c>
      <c r="AK30" s="330"/>
      <c r="AL30" s="330"/>
      <c r="AM30" s="330"/>
      <c r="AN30" s="330"/>
      <c r="AO30" s="331"/>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row>
    <row r="31" spans="1:75" ht="18.75" x14ac:dyDescent="0.3">
      <c r="A31" s="38"/>
      <c r="B31" s="294"/>
      <c r="C31" s="294"/>
      <c r="D31" s="295"/>
      <c r="E31" s="298"/>
      <c r="F31" s="299"/>
      <c r="G31" s="299"/>
      <c r="H31" s="299"/>
      <c r="I31" s="299"/>
      <c r="J31" s="124" t="str">
        <f ca="1">+IF(AND('Mapa de Riesgos'!$Y$9="Baja",'Mapa de Riesgos'!$AA$9="AAeve"),CONCATENATE("R",'Mapa de Riesgos'!$A$9),"")</f>
        <v/>
      </c>
      <c r="K31" s="105" t="str">
        <f ca="1">+IF(AND('Mapa de Riesgos'!$Y$28="Baja",'Mapa de Riesgos'!$AA$28="AAeve"),CONCATENATE("R",'Mapa de Riesgos'!$A$28),"")</f>
        <v/>
      </c>
      <c r="L31" s="105" t="str">
        <f ca="1">+IF(AND('Mapa de Riesgos'!$Y$40="Baja",'Mapa de Riesgos'!$AA$40="AAeve"),CONCATENATE("R",'Mapa de Riesgos'!$A$40),"")</f>
        <v/>
      </c>
      <c r="M31" s="105" t="str">
        <f ca="1">+IF(AND('Mapa de Riesgos'!$Y$56="Baja",'Mapa de Riesgos'!$AA$56="AAeve"),CONCATENATE("R",'Mapa de Riesgos'!$A$56),"")</f>
        <v/>
      </c>
      <c r="N31" s="105" t="str">
        <f ca="1">+IF(AND('Mapa de Riesgos'!$Y$68="Baja",'Mapa de Riesgos'!$AA$68="AAeve"),CONCATENATE("R",'Mapa de Riesgos'!$A$68),"")</f>
        <v/>
      </c>
      <c r="O31" s="117" t="str">
        <f ca="1">+IF(AND('Mapa de Riesgos'!$Y$9="Baja",'Mapa de Riesgos'!$AA$9="Menor"),CONCATENATE("R",'Mapa de Riesgos'!$A$9),"")</f>
        <v/>
      </c>
      <c r="P31" s="104" t="str">
        <f ca="1">+IF(AND('Mapa de Riesgos'!$Y$28="Baja",'Mapa de Riesgos'!$AA$28="Menor"),CONCATENATE("R",'Mapa de Riesgos'!$A$28),"")</f>
        <v/>
      </c>
      <c r="Q31" s="104" t="str">
        <f ca="1">+IF(AND('Mapa de Riesgos'!$Y$40="Baja",'Mapa de Riesgos'!$AA$40="Menor"),CONCATENATE("R",'Mapa de Riesgos'!$A$40),"")</f>
        <v/>
      </c>
      <c r="R31" s="104" t="str">
        <f ca="1">+IF(AND('Mapa de Riesgos'!$Y$56="Baja",'Mapa de Riesgos'!$AA$56="Menor"),CONCATENATE("R",'Mapa de Riesgos'!$A$56),"")</f>
        <v/>
      </c>
      <c r="S31" s="104" t="str">
        <f ca="1">+IF(AND('Mapa de Riesgos'!$Y$68="Baja",'Mapa de Riesgos'!$AA$68="Menor"),CONCATENATE("R",'Mapa de Riesgos'!$A$68),"")</f>
        <v/>
      </c>
      <c r="T31" s="117" t="str">
        <f ca="1">+IF(AND('Mapa de Riesgos'!$Y$9="Baja",'Mapa de Riesgos'!$AA$9="Moderado"),CONCATENATE("R",'Mapa de Riesgos'!$A$9),"")</f>
        <v>R2</v>
      </c>
      <c r="U31" s="104" t="str">
        <f ca="1">+IF(AND('Mapa de Riesgos'!$Y$28="Baja",'Mapa de Riesgos'!$AA$28="Moderado"),CONCATENATE("R",'Mapa de Riesgos'!$A$28),"")</f>
        <v/>
      </c>
      <c r="V31" s="104" t="str">
        <f ca="1">+IF(AND('Mapa de Riesgos'!$Y$40="Baja",'Mapa de Riesgos'!$AA$40="Moderado"),CONCATENATE("R",'Mapa de Riesgos'!$A$40),"")</f>
        <v/>
      </c>
      <c r="W31" s="104" t="str">
        <f ca="1">+IF(AND('Mapa de Riesgos'!$Y$56="Baja",'Mapa de Riesgos'!$AA$56="Moderado"),CONCATENATE("R",'Mapa de Riesgos'!$A$56),"")</f>
        <v/>
      </c>
      <c r="X31" s="118" t="str">
        <f ca="1">+IF(AND('Mapa de Riesgos'!$Y$68="Baja",'Mapa de Riesgos'!$AA$68="Moderado"),CONCATENATE("R",'Mapa de Riesgos'!$A$68),"")</f>
        <v/>
      </c>
      <c r="Y31" s="102" t="str">
        <f ca="1">+IF(AND('Mapa de Riesgos'!$Y$9="Baja",'Mapa de Riesgos'!$AA$9="Mayor"),CONCATENATE("R",'Mapa de Riesgos'!$A$9),"")</f>
        <v/>
      </c>
      <c r="Z31" s="102" t="str">
        <f ca="1">+IF(AND('Mapa de Riesgos'!$Y$28="Baja",'Mapa de Riesgos'!$AA$28="Mayor"),CONCATENATE("R",'Mapa de Riesgos'!$A$28),"")</f>
        <v>R10</v>
      </c>
      <c r="AA31" s="102" t="str">
        <f ca="1">+IF(AND('Mapa de Riesgos'!$Y$40="Baja",'Mapa de Riesgos'!$AA$40="Mayor"),CONCATENATE("R",'Mapa de Riesgos'!$A$40),"")</f>
        <v>R18</v>
      </c>
      <c r="AB31" s="102" t="str">
        <f ca="1">+IF(AND('Mapa de Riesgos'!$Y$56="Baja",'Mapa de Riesgos'!$AA$56="Mayor"),CONCATENATE("R",'Mapa de Riesgos'!$A$56),"")</f>
        <v/>
      </c>
      <c r="AC31" s="102" t="str">
        <f ca="1">+IF(AND('Mapa de Riesgos'!$Y$68="Baja",'Mapa de Riesgos'!$AA$68="Mayor"),CONCATENATE("R",'Mapa de Riesgos'!$A$68),"")</f>
        <v/>
      </c>
      <c r="AD31" s="133" t="str">
        <f ca="1">+IF(AND('Mapa de Riesgos'!$Y$9="Baja",'Mapa de Riesgos'!$AA$9="Catastrófico"),CONCATENATE("R",'Mapa de Riesgos'!$A$9),"")</f>
        <v/>
      </c>
      <c r="AE31" s="103" t="str">
        <f ca="1">+IF(AND('Mapa de Riesgos'!$Y$28="Baja",'Mapa de Riesgos'!$AA$28="Catastrófico"),CONCATENATE("R",'Mapa de Riesgos'!$A$28),"")</f>
        <v/>
      </c>
      <c r="AF31" s="103" t="str">
        <f ca="1">+IF(AND('Mapa de Riesgos'!$Y$40="Baja",'Mapa de Riesgos'!$AA$40="Catastrófico"),CONCATENATE("R",'Mapa de Riesgos'!$A$40),"")</f>
        <v/>
      </c>
      <c r="AG31" s="103" t="str">
        <f ca="1">+IF(AND('Mapa de Riesgos'!$Y$56="Baja",'Mapa de Riesgos'!$AA$56="Catastrófico"),CONCATENATE("R",'Mapa de Riesgos'!$A$56),"")</f>
        <v/>
      </c>
      <c r="AH31" s="129" t="str">
        <f ca="1">+IF(AND('Mapa de Riesgos'!$Y$68="Baja",'Mapa de Riesgos'!$AA$68="Catastrófico"),CONCATENATE("R",'Mapa de Riesgos'!$A$68),"")</f>
        <v/>
      </c>
      <c r="AI31" s="38"/>
      <c r="AJ31" s="332"/>
      <c r="AK31" s="333"/>
      <c r="AL31" s="333"/>
      <c r="AM31" s="333"/>
      <c r="AN31" s="333"/>
      <c r="AO31" s="334"/>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row>
    <row r="32" spans="1:75" ht="18.75" x14ac:dyDescent="0.3">
      <c r="A32" s="38"/>
      <c r="B32" s="294"/>
      <c r="C32" s="294"/>
      <c r="D32" s="295"/>
      <c r="E32" s="298"/>
      <c r="F32" s="299"/>
      <c r="G32" s="299"/>
      <c r="H32" s="299"/>
      <c r="I32" s="299"/>
      <c r="J32" s="124" t="str">
        <f ca="1">+IF(AND('Mapa de Riesgos'!$Y$15="Baja",'Mapa de Riesgos'!$AA$15="AAeve"),CONCATENATE("R",'Mapa de Riesgos'!$A$15),"")</f>
        <v/>
      </c>
      <c r="K32" s="105" t="str">
        <f ca="1">+IF(AND('Mapa de Riesgos'!$Y$29="Baja",'Mapa de Riesgos'!$AA$29="AAeve"),CONCATENATE("R",'Mapa de Riesgos'!$A$29),"")</f>
        <v/>
      </c>
      <c r="L32" s="105" t="str">
        <f ca="1">+IF(AND('Mapa de Riesgos'!$Y$42="Baja",'Mapa de Riesgos'!$AA$42="AAeve"),CONCATENATE("R",'Mapa de Riesgos'!$A$42),"")</f>
        <v/>
      </c>
      <c r="M32" s="105" t="str">
        <f ca="1">+IF(AND('Mapa de Riesgos'!$Y$57="Baja",'Mapa de Riesgos'!$AA$57="AAeve"),CONCATENATE("R",'Mapa de Riesgos'!$A$57),"")</f>
        <v/>
      </c>
      <c r="N32" s="105" t="str">
        <f ca="1">+IF(AND('Mapa de Riesgos'!$Y$70="Baja",'Mapa de Riesgos'!$AA$70="AAeve"),CONCATENATE("R",'Mapa de Riesgos'!$A$70),"")</f>
        <v/>
      </c>
      <c r="O32" s="117" t="str">
        <f ca="1">+IF(AND('Mapa de Riesgos'!$Y$15="Baja",'Mapa de Riesgos'!$AA$15="Menor"),CONCATENATE("R",'Mapa de Riesgos'!$A$15),"")</f>
        <v/>
      </c>
      <c r="P32" s="104" t="str">
        <f ca="1">+IF(AND('Mapa de Riesgos'!$Y$29="Baja",'Mapa de Riesgos'!$AA$29="Menor"),CONCATENATE("R",'Mapa de Riesgos'!$A$29),"")</f>
        <v/>
      </c>
      <c r="Q32" s="104" t="str">
        <f ca="1">+IF(AND('Mapa de Riesgos'!$Y$42="Baja",'Mapa de Riesgos'!$AA$42="Menor"),CONCATENATE("R",'Mapa de Riesgos'!$A$42),"")</f>
        <v>R19</v>
      </c>
      <c r="R32" s="104" t="str">
        <f ca="1">+IF(AND('Mapa de Riesgos'!$Y$57="Baja",'Mapa de Riesgos'!$AA$57="Menor"),CONCATENATE("R",'Mapa de Riesgos'!$A$57),"")</f>
        <v/>
      </c>
      <c r="S32" s="104" t="str">
        <f ca="1">+IF(AND('Mapa de Riesgos'!$Y$70="Baja",'Mapa de Riesgos'!$AA$70="Menor"),CONCATENATE("R",'Mapa de Riesgos'!$A$70),"")</f>
        <v/>
      </c>
      <c r="T32" s="117" t="str">
        <f ca="1">+IF(AND('Mapa de Riesgos'!$Y$15="Baja",'Mapa de Riesgos'!$AA$15="Moderado"),CONCATENATE("R",'Mapa de Riesgos'!$A$15),"")</f>
        <v/>
      </c>
      <c r="U32" s="104" t="str">
        <f ca="1">+IF(AND('Mapa de Riesgos'!$Y$29="Baja",'Mapa de Riesgos'!$AA$29="Moderado"),CONCATENATE("R",'Mapa de Riesgos'!$A$29),"")</f>
        <v/>
      </c>
      <c r="V32" s="104" t="str">
        <f ca="1">+IF(AND('Mapa de Riesgos'!$Y$42="Baja",'Mapa de Riesgos'!$AA$42="Moderado"),CONCATENATE("R",'Mapa de Riesgos'!$A$42),"")</f>
        <v/>
      </c>
      <c r="W32" s="104" t="str">
        <f ca="1">+IF(AND('Mapa de Riesgos'!$Y$57="Baja",'Mapa de Riesgos'!$AA$57="Moderado"),CONCATENATE("R",'Mapa de Riesgos'!$A$57),"")</f>
        <v/>
      </c>
      <c r="X32" s="118" t="str">
        <f ca="1">+IF(AND('Mapa de Riesgos'!$Y$70="Baja",'Mapa de Riesgos'!$AA$70="Moderado"),CONCATENATE("R",'Mapa de Riesgos'!$A$70),"")</f>
        <v/>
      </c>
      <c r="Y32" s="102" t="str">
        <f ca="1">+IF(AND('Mapa de Riesgos'!$Y$15="Baja",'Mapa de Riesgos'!$AA$15="Mayor"),CONCATENATE("R",'Mapa de Riesgos'!$A$15),"")</f>
        <v>R3</v>
      </c>
      <c r="Z32" s="102" t="str">
        <f ca="1">+IF(AND('Mapa de Riesgos'!$Y$29="Baja",'Mapa de Riesgos'!$AA$29="Mayor"),CONCATENATE("R",'Mapa de Riesgos'!$A$29),"")</f>
        <v/>
      </c>
      <c r="AA32" s="102" t="str">
        <f ca="1">+IF(AND('Mapa de Riesgos'!$Y$42="Baja",'Mapa de Riesgos'!$AA$42="Mayor"),CONCATENATE("R",'Mapa de Riesgos'!$A$42),"")</f>
        <v/>
      </c>
      <c r="AB32" s="102" t="str">
        <f ca="1">+IF(AND('Mapa de Riesgos'!$Y$57="Baja",'Mapa de Riesgos'!$AA$57="Mayor"),CONCATENATE("R",'Mapa de Riesgos'!$A$57),"")</f>
        <v/>
      </c>
      <c r="AC32" s="102" t="str">
        <f ca="1">+IF(AND('Mapa de Riesgos'!$Y$70="Baja",'Mapa de Riesgos'!$AA$70="Mayor"),CONCATENATE("R",'Mapa de Riesgos'!$A$70),"")</f>
        <v/>
      </c>
      <c r="AD32" s="133" t="str">
        <f ca="1">+IF(AND('Mapa de Riesgos'!$Y$15="Baja",'Mapa de Riesgos'!$AA$15="Catastrófico"),CONCATENATE("R",'Mapa de Riesgos'!$A$15),"")</f>
        <v/>
      </c>
      <c r="AE32" s="103" t="str">
        <f ca="1">+IF(AND('Mapa de Riesgos'!$Y$29="Baja",'Mapa de Riesgos'!$AA$29="Catastrófico"),CONCATENATE("R",'Mapa de Riesgos'!$A$29),"")</f>
        <v/>
      </c>
      <c r="AF32" s="103" t="str">
        <f ca="1">+IF(AND('Mapa de Riesgos'!$Y$42="Baja",'Mapa de Riesgos'!$AA$42="Catastrófico"),CONCATENATE("R",'Mapa de Riesgos'!$A$42),"")</f>
        <v/>
      </c>
      <c r="AG32" s="103" t="str">
        <f ca="1">+IF(AND('Mapa de Riesgos'!$Y$57="Baja",'Mapa de Riesgos'!$AA$57="Catastrófico"),CONCATENATE("R",'Mapa de Riesgos'!$A$57),"")</f>
        <v/>
      </c>
      <c r="AH32" s="129" t="str">
        <f ca="1">+IF(AND('Mapa de Riesgos'!$Y$70="Baja",'Mapa de Riesgos'!$AA$70="Catastrófico"),CONCATENATE("R",'Mapa de Riesgos'!$A$70),"")</f>
        <v/>
      </c>
      <c r="AI32" s="38"/>
      <c r="AJ32" s="332"/>
      <c r="AK32" s="333"/>
      <c r="AL32" s="333"/>
      <c r="AM32" s="333"/>
      <c r="AN32" s="333"/>
      <c r="AO32" s="334"/>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row>
    <row r="33" spans="1:75" ht="18.75" x14ac:dyDescent="0.3">
      <c r="A33" s="38"/>
      <c r="B33" s="294"/>
      <c r="C33" s="294"/>
      <c r="D33" s="295"/>
      <c r="E33" s="298"/>
      <c r="F33" s="299"/>
      <c r="G33" s="299"/>
      <c r="H33" s="299"/>
      <c r="I33" s="299"/>
      <c r="J33" s="124" t="str">
        <f ca="1">+IF(AND('Mapa de Riesgos'!$Y$17="Baja",'Mapa de Riesgos'!$AA$17="AAeve"),CONCATENATE("R",'Mapa de Riesgos'!$A$17),"")</f>
        <v/>
      </c>
      <c r="K33" s="105" t="str">
        <f ca="1">+IF(AND('Mapa de Riesgos'!$Y$30="Baja",'Mapa de Riesgos'!$AA$30="AAeve"),CONCATENATE("R",'Mapa de Riesgos'!$A$30),"")</f>
        <v/>
      </c>
      <c r="L33" s="105" t="str">
        <f ca="1">+IF(AND('Mapa de Riesgos'!$Y$44="Baja",'Mapa de Riesgos'!$AA$44="AAeve"),CONCATENATE("R",'Mapa de Riesgos'!$A$44),"")</f>
        <v/>
      </c>
      <c r="M33" s="105" t="str">
        <f ca="1">+IF(AND('Mapa de Riesgos'!$Y$58="Baja",'Mapa de Riesgos'!$AA$58="AAeve"),CONCATENATE("R",'Mapa de Riesgos'!$A$58),"")</f>
        <v/>
      </c>
      <c r="N33" s="105" t="str">
        <f ca="1">+IF(AND('Mapa de Riesgos'!$Y$72="Baja",'Mapa de Riesgos'!$AA$72="AAeve"),CONCATENATE("R",'Mapa de Riesgos'!$A$72),"")</f>
        <v/>
      </c>
      <c r="O33" s="117" t="str">
        <f ca="1">+IF(AND('Mapa de Riesgos'!$Y$17="Baja",'Mapa de Riesgos'!$AA$17="Menor"),CONCATENATE("R",'Mapa de Riesgos'!$A$17),"")</f>
        <v/>
      </c>
      <c r="P33" s="104" t="str">
        <f ca="1">+IF(AND('Mapa de Riesgos'!$Y$30="Baja",'Mapa de Riesgos'!$AA$30="Menor"),CONCATENATE("R",'Mapa de Riesgos'!$A$30),"")</f>
        <v>R12</v>
      </c>
      <c r="Q33" s="104" t="str">
        <f ca="1">+IF(AND('Mapa de Riesgos'!$Y$44="Baja",'Mapa de Riesgos'!$AA$44="Menor"),CONCATENATE("R",'Mapa de Riesgos'!$A$44),"")</f>
        <v>R20</v>
      </c>
      <c r="R33" s="104" t="str">
        <f ca="1">+IF(AND('Mapa de Riesgos'!$Y$58="Baja",'Mapa de Riesgos'!$AA$58="Menor"),CONCATENATE("R",'Mapa de Riesgos'!$A$58),"")</f>
        <v/>
      </c>
      <c r="S33" s="104" t="str">
        <f ca="1">+IF(AND('Mapa de Riesgos'!$Y$72="Baja",'Mapa de Riesgos'!$AA$72="Menor"),CONCATENATE("R",'Mapa de Riesgos'!$A$72),"")</f>
        <v>R36</v>
      </c>
      <c r="T33" s="117" t="str">
        <f ca="1">+IF(AND('Mapa de Riesgos'!$Y$17="Baja",'Mapa de Riesgos'!$AA$17="Moderado"),CONCATENATE("R",'Mapa de Riesgos'!$A$17),"")</f>
        <v/>
      </c>
      <c r="U33" s="104" t="str">
        <f ca="1">+IF(AND('Mapa de Riesgos'!$Y$30="Baja",'Mapa de Riesgos'!$AA$30="Moderado"),CONCATENATE("R",'Mapa de Riesgos'!$A$30),"")</f>
        <v/>
      </c>
      <c r="V33" s="104" t="str">
        <f ca="1">+IF(AND('Mapa de Riesgos'!$Y$44="Baja",'Mapa de Riesgos'!$AA$44="Moderado"),CONCATENATE("R",'Mapa de Riesgos'!$A$44),"")</f>
        <v/>
      </c>
      <c r="W33" s="104" t="str">
        <f ca="1">+IF(AND('Mapa de Riesgos'!$Y$58="Baja",'Mapa de Riesgos'!$AA$58="Moderado"),CONCATENATE("R",'Mapa de Riesgos'!$A$58),"")</f>
        <v/>
      </c>
      <c r="X33" s="118" t="str">
        <f ca="1">+IF(AND('Mapa de Riesgos'!$Y$72="Baja",'Mapa de Riesgos'!$AA$72="Moderado"),CONCATENATE("R",'Mapa de Riesgos'!$A$72),"")</f>
        <v/>
      </c>
      <c r="Y33" s="102" t="str">
        <f ca="1">+IF(AND('Mapa de Riesgos'!$Y$17="Baja",'Mapa de Riesgos'!$AA$17="Mayor"),CONCATENATE("R",'Mapa de Riesgos'!$A$17),"")</f>
        <v/>
      </c>
      <c r="Z33" s="102" t="str">
        <f ca="1">+IF(AND('Mapa de Riesgos'!$Y$30="Baja",'Mapa de Riesgos'!$AA$30="Mayor"),CONCATENATE("R",'Mapa de Riesgos'!$A$30),"")</f>
        <v/>
      </c>
      <c r="AA33" s="102" t="str">
        <f ca="1">+IF(AND('Mapa de Riesgos'!$Y$44="Baja",'Mapa de Riesgos'!$AA$44="Mayor"),CONCATENATE("R",'Mapa de Riesgos'!$A$44),"")</f>
        <v/>
      </c>
      <c r="AB33" s="102" t="str">
        <f ca="1">+IF(AND('Mapa de Riesgos'!$Y$58="Baja",'Mapa de Riesgos'!$AA$58="Mayor"),CONCATENATE("R",'Mapa de Riesgos'!$A$58),"")</f>
        <v>R28</v>
      </c>
      <c r="AC33" s="102" t="str">
        <f ca="1">+IF(AND('Mapa de Riesgos'!$Y$72="Baja",'Mapa de Riesgos'!$AA$72="Mayor"),CONCATENATE("R",'Mapa de Riesgos'!$A$72),"")</f>
        <v/>
      </c>
      <c r="AD33" s="133" t="str">
        <f ca="1">+IF(AND('Mapa de Riesgos'!$Y$17="Baja",'Mapa de Riesgos'!$AA$17="Catastrófico"),CONCATENATE("R",'Mapa de Riesgos'!$A$17),"")</f>
        <v/>
      </c>
      <c r="AE33" s="103" t="str">
        <f ca="1">+IF(AND('Mapa de Riesgos'!$Y$30="Baja",'Mapa de Riesgos'!$AA$30="Catastrófico"),CONCATENATE("R",'Mapa de Riesgos'!$A$30),"")</f>
        <v/>
      </c>
      <c r="AF33" s="103" t="str">
        <f ca="1">+IF(AND('Mapa de Riesgos'!$Y$44="Baja",'Mapa de Riesgos'!$AA$44="Catastrófico"),CONCATENATE("R",'Mapa de Riesgos'!$A$44),"")</f>
        <v/>
      </c>
      <c r="AG33" s="103" t="str">
        <f ca="1">+IF(AND('Mapa de Riesgos'!$Y$58="Baja",'Mapa de Riesgos'!$AA$58="Catastrófico"),CONCATENATE("R",'Mapa de Riesgos'!$A$58),"")</f>
        <v/>
      </c>
      <c r="AH33" s="129" t="str">
        <f ca="1">+IF(AND('Mapa de Riesgos'!$Y$72="Baja",'Mapa de Riesgos'!$AA$72="Catastrófico"),CONCATENATE("R",'Mapa de Riesgos'!$A$72),"")</f>
        <v/>
      </c>
      <c r="AI33" s="38"/>
      <c r="AJ33" s="332"/>
      <c r="AK33" s="333"/>
      <c r="AL33" s="333"/>
      <c r="AM33" s="333"/>
      <c r="AN33" s="333"/>
      <c r="AO33" s="334"/>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row>
    <row r="34" spans="1:75" ht="18.75" x14ac:dyDescent="0.3">
      <c r="A34" s="38"/>
      <c r="B34" s="294"/>
      <c r="C34" s="294"/>
      <c r="D34" s="295"/>
      <c r="E34" s="298"/>
      <c r="F34" s="299"/>
      <c r="G34" s="299"/>
      <c r="H34" s="299"/>
      <c r="I34" s="299"/>
      <c r="J34" s="124" t="str">
        <f ca="1">+IF(AND('Mapa de Riesgos'!$Y$19="Baja",'Mapa de Riesgos'!$AA$19="AAeve"),CONCATENATE("R",'Mapa de Riesgos'!$A$19),"")</f>
        <v/>
      </c>
      <c r="K34" s="105" t="str">
        <f ca="1">+IF(AND('Mapa de Riesgos'!$Y$32="Baja",'Mapa de Riesgos'!$AA$32="AAeve"),CONCATENATE("R",'Mapa de Riesgos'!$A$32),"")</f>
        <v/>
      </c>
      <c r="L34" s="105" t="str">
        <f ca="1">+IF(AND('Mapa de Riesgos'!$Y$45="Baja",'Mapa de Riesgos'!$AA$45="AAeve"),CONCATENATE("R",'Mapa de Riesgos'!$A$45),"")</f>
        <v/>
      </c>
      <c r="M34" s="105" t="str">
        <f ca="1">+IF(AND('Mapa de Riesgos'!$Y$60="Baja",'Mapa de Riesgos'!$AA$60="AAeve"),CONCATENATE("R",'Mapa de Riesgos'!$A$60),"")</f>
        <v/>
      </c>
      <c r="N34" s="105" t="str">
        <f>+IF(AND('Mapa de Riesgos'!$Y$76="Baja",'Mapa de Riesgos'!$AA$76="AAeve"),CONCATENATE("R",'Mapa de Riesgos'!$A$76),"")</f>
        <v/>
      </c>
      <c r="O34" s="117" t="str">
        <f ca="1">+IF(AND('Mapa de Riesgos'!$Y$19="Baja",'Mapa de Riesgos'!$AA$19="Menor"),CONCATENATE("R",'Mapa de Riesgos'!$A$19),"")</f>
        <v/>
      </c>
      <c r="P34" s="104" t="str">
        <f ca="1">+IF(AND('Mapa de Riesgos'!$Y$32="Baja",'Mapa de Riesgos'!$AA$32="Menor"),CONCATENATE("R",'Mapa de Riesgos'!$A$32),"")</f>
        <v/>
      </c>
      <c r="Q34" s="104" t="str">
        <f ca="1">+IF(AND('Mapa de Riesgos'!$Y$45="Baja",'Mapa de Riesgos'!$AA$45="Menor"),CONCATENATE("R",'Mapa de Riesgos'!$A$45),"")</f>
        <v/>
      </c>
      <c r="R34" s="104" t="str">
        <f ca="1">+IF(AND('Mapa de Riesgos'!$Y$60="Baja",'Mapa de Riesgos'!$AA$60="Menor"),CONCATENATE("R",'Mapa de Riesgos'!$A$60),"")</f>
        <v/>
      </c>
      <c r="S34" s="104" t="str">
        <f>+IF(AND('Mapa de Riesgos'!$Y$76="Baja",'Mapa de Riesgos'!$AA$76="Menor"),CONCATENATE("R",'Mapa de Riesgos'!$A$76),"")</f>
        <v/>
      </c>
      <c r="T34" s="117" t="str">
        <f ca="1">+IF(AND('Mapa de Riesgos'!$Y$19="Baja",'Mapa de Riesgos'!$AA$19="Moderado"),CONCATENATE("R",'Mapa de Riesgos'!$A$19),"")</f>
        <v>R5</v>
      </c>
      <c r="U34" s="104" t="str">
        <f ca="1">+IF(AND('Mapa de Riesgos'!$Y$32="Baja",'Mapa de Riesgos'!$AA$32="Moderado"),CONCATENATE("R",'Mapa de Riesgos'!$A$32),"")</f>
        <v>R13</v>
      </c>
      <c r="V34" s="104" t="str">
        <f ca="1">+IF(AND('Mapa de Riesgos'!$Y$45="Baja",'Mapa de Riesgos'!$AA$45="Moderado"),CONCATENATE("R",'Mapa de Riesgos'!$A$45),"")</f>
        <v/>
      </c>
      <c r="W34" s="104" t="str">
        <f ca="1">+IF(AND('Mapa de Riesgos'!$Y$60="Baja",'Mapa de Riesgos'!$AA$60="Moderado"),CONCATENATE("R",'Mapa de Riesgos'!$A$60),"")</f>
        <v>R29</v>
      </c>
      <c r="X34" s="118" t="str">
        <f>+IF(AND('Mapa de Riesgos'!$Y$76="Baja",'Mapa de Riesgos'!$AA$76="Moderado"),CONCATENATE("R",'Mapa de Riesgos'!$A$76),"")</f>
        <v/>
      </c>
      <c r="Y34" s="102" t="str">
        <f ca="1">+IF(AND('Mapa de Riesgos'!$Y$19="Baja",'Mapa de Riesgos'!$AA$19="Mayor"),CONCATENATE("R",'Mapa de Riesgos'!$A$19),"")</f>
        <v/>
      </c>
      <c r="Z34" s="102" t="str">
        <f ca="1">+IF(AND('Mapa de Riesgos'!$Y$32="Baja",'Mapa de Riesgos'!$AA$32="Mayor"),CONCATENATE("R",'Mapa de Riesgos'!$A$32),"")</f>
        <v/>
      </c>
      <c r="AA34" s="102" t="str">
        <f ca="1">+IF(AND('Mapa de Riesgos'!$Y$45="Baja",'Mapa de Riesgos'!$AA$45="Mayor"),CONCATENATE("R",'Mapa de Riesgos'!$A$45),"")</f>
        <v/>
      </c>
      <c r="AB34" s="102" t="str">
        <f ca="1">+IF(AND('Mapa de Riesgos'!$Y$60="Baja",'Mapa de Riesgos'!$AA$60="Mayor"),CONCATENATE("R",'Mapa de Riesgos'!$A$60),"")</f>
        <v/>
      </c>
      <c r="AC34" s="102" t="str">
        <f>+IF(AND('Mapa de Riesgos'!$Y$76="Baja",'Mapa de Riesgos'!$AA$76="Mayor"),CONCATENATE("R",'Mapa de Riesgos'!$A$76),"")</f>
        <v/>
      </c>
      <c r="AD34" s="133" t="str">
        <f ca="1">+IF(AND('Mapa de Riesgos'!$Y$19="Baja",'Mapa de Riesgos'!$AA$19="Catastrófico"),CONCATENATE("R",'Mapa de Riesgos'!$A$19),"")</f>
        <v/>
      </c>
      <c r="AE34" s="103" t="str">
        <f ca="1">+IF(AND('Mapa de Riesgos'!$Y$32="Baja",'Mapa de Riesgos'!$AA$32="Catastrófico"),CONCATENATE("R",'Mapa de Riesgos'!$A$32),"")</f>
        <v/>
      </c>
      <c r="AF34" s="103" t="str">
        <f ca="1">+IF(AND('Mapa de Riesgos'!$Y$45="Baja",'Mapa de Riesgos'!$AA$45="Catastrófico"),CONCATENATE("R",'Mapa de Riesgos'!$A$45),"")</f>
        <v/>
      </c>
      <c r="AG34" s="103" t="str">
        <f ca="1">+IF(AND('Mapa de Riesgos'!$Y$60="Baja",'Mapa de Riesgos'!$AA$60="Catastrófico"),CONCATENATE("R",'Mapa de Riesgos'!$A$60),"")</f>
        <v/>
      </c>
      <c r="AH34" s="129" t="str">
        <f>+IF(AND('Mapa de Riesgos'!$Y$76="Baja",'Mapa de Riesgos'!$AA$76="Catastrófico"),CONCATENATE("R",'Mapa de Riesgos'!$A$76),"")</f>
        <v/>
      </c>
      <c r="AI34" s="38"/>
      <c r="AJ34" s="332"/>
      <c r="AK34" s="333"/>
      <c r="AL34" s="333"/>
      <c r="AM34" s="333"/>
      <c r="AN34" s="333"/>
      <c r="AO34" s="334"/>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row>
    <row r="35" spans="1:75" ht="18.75" x14ac:dyDescent="0.3">
      <c r="A35" s="38"/>
      <c r="B35" s="294"/>
      <c r="C35" s="294"/>
      <c r="D35" s="295"/>
      <c r="E35" s="298"/>
      <c r="F35" s="299"/>
      <c r="G35" s="299"/>
      <c r="H35" s="299"/>
      <c r="I35" s="299"/>
      <c r="J35" s="124" t="str">
        <f ca="1">+IF(AND('Mapa de Riesgos'!$Y$21="Baja",'Mapa de Riesgos'!$AA$21="AAeve"),CONCATENATE("R",'Mapa de Riesgos'!$A$21),"")</f>
        <v/>
      </c>
      <c r="K35" s="105" t="str">
        <f ca="1">+IF(AND('Mapa de Riesgos'!$Y$34="Baja",'Mapa de Riesgos'!$AA$34="AAeve"),CONCATENATE("R",'Mapa de Riesgos'!$A$34),"")</f>
        <v/>
      </c>
      <c r="L35" s="105" t="e">
        <f>+IF(AND('Mapa de Riesgos'!#REF!="Baja",'Mapa de Riesgos'!#REF!="AAeve"),CONCATENATE("R",'Mapa de Riesgos'!#REF!),"")</f>
        <v>#REF!</v>
      </c>
      <c r="M35" s="105" t="str">
        <f ca="1">+IF(AND('Mapa de Riesgos'!$Y$61="Baja",'Mapa de Riesgos'!$AA$61="AAeve"),CONCATENATE("R",'Mapa de Riesgos'!$A$61),"")</f>
        <v/>
      </c>
      <c r="N35" s="105" t="str">
        <f>+IF(AND('Mapa de Riesgos'!$Y$82="Baja",'Mapa de Riesgos'!$AA$82="AAeve"),CONCATENATE("R",'Mapa de Riesgos'!$A$82),"")</f>
        <v/>
      </c>
      <c r="O35" s="117" t="str">
        <f ca="1">+IF(AND('Mapa de Riesgos'!$Y$21="Baja",'Mapa de Riesgos'!$AA$21="Menor"),CONCATENATE("R",'Mapa de Riesgos'!$A$21),"")</f>
        <v/>
      </c>
      <c r="P35" s="104" t="str">
        <f ca="1">+IF(AND('Mapa de Riesgos'!$Y$34="Baja",'Mapa de Riesgos'!$AA$34="Menor"),CONCATENATE("R",'Mapa de Riesgos'!$A$34),"")</f>
        <v/>
      </c>
      <c r="Q35" s="104" t="e">
        <f>+IF(AND('Mapa de Riesgos'!#REF!="Baja",'Mapa de Riesgos'!#REF!="Menor"),CONCATENATE("R",'Mapa de Riesgos'!#REF!),"")</f>
        <v>#REF!</v>
      </c>
      <c r="R35" s="104" t="str">
        <f ca="1">+IF(AND('Mapa de Riesgos'!$Y$61="Baja",'Mapa de Riesgos'!$AA$61="Menor"),CONCATENATE("R",'Mapa de Riesgos'!$A$61),"")</f>
        <v/>
      </c>
      <c r="S35" s="104" t="str">
        <f>+IF(AND('Mapa de Riesgos'!$Y$82="Baja",'Mapa de Riesgos'!$AA$82="Menor"),CONCATENATE("R",'Mapa de Riesgos'!$A$82),"")</f>
        <v/>
      </c>
      <c r="T35" s="117" t="str">
        <f ca="1">+IF(AND('Mapa de Riesgos'!$Y$21="Baja",'Mapa de Riesgos'!$AA$21="Moderado"),CONCATENATE("R",'Mapa de Riesgos'!$A$21),"")</f>
        <v/>
      </c>
      <c r="U35" s="104" t="str">
        <f ca="1">+IF(AND('Mapa de Riesgos'!$Y$34="Baja",'Mapa de Riesgos'!$AA$34="Moderado"),CONCATENATE("R",'Mapa de Riesgos'!$A$34),"")</f>
        <v>R14</v>
      </c>
      <c r="V35" s="104" t="e">
        <f>+IF(AND('Mapa de Riesgos'!#REF!="Baja",'Mapa de Riesgos'!#REF!="Moderado"),CONCATENATE("R",'Mapa de Riesgos'!#REF!),"")</f>
        <v>#REF!</v>
      </c>
      <c r="W35" s="104" t="str">
        <f ca="1">+IF(AND('Mapa de Riesgos'!$Y$61="Baja",'Mapa de Riesgos'!$AA$61="Moderado"),CONCATENATE("R",'Mapa de Riesgos'!$A$61),"")</f>
        <v/>
      </c>
      <c r="X35" s="118" t="str">
        <f>+IF(AND('Mapa de Riesgos'!$Y$82="Baja",'Mapa de Riesgos'!$AA$82="Moderado"),CONCATENATE("R",'Mapa de Riesgos'!$A$82),"")</f>
        <v/>
      </c>
      <c r="Y35" s="102" t="str">
        <f ca="1">+IF(AND('Mapa de Riesgos'!$Y$21="Baja",'Mapa de Riesgos'!$AA$21="Mayor"),CONCATENATE("R",'Mapa de Riesgos'!$A$21),"")</f>
        <v/>
      </c>
      <c r="Z35" s="102" t="str">
        <f ca="1">+IF(AND('Mapa de Riesgos'!$Y$34="Baja",'Mapa de Riesgos'!$AA$34="Mayor"),CONCATENATE("R",'Mapa de Riesgos'!$A$34),"")</f>
        <v/>
      </c>
      <c r="AA35" s="102" t="e">
        <f>+IF(AND('Mapa de Riesgos'!#REF!="Baja",'Mapa de Riesgos'!#REF!="Mayor"),CONCATENATE("R",'Mapa de Riesgos'!#REF!),"")</f>
        <v>#REF!</v>
      </c>
      <c r="AB35" s="102" t="str">
        <f ca="1">+IF(AND('Mapa de Riesgos'!$Y$61="Baja",'Mapa de Riesgos'!$AA$61="Mayor"),CONCATENATE("R",'Mapa de Riesgos'!$A$61),"")</f>
        <v/>
      </c>
      <c r="AC35" s="102" t="str">
        <f>+IF(AND('Mapa de Riesgos'!$Y$82="Baja",'Mapa de Riesgos'!$AA$82="Mayor"),CONCATENATE("R",'Mapa de Riesgos'!$A$82),"")</f>
        <v/>
      </c>
      <c r="AD35" s="133" t="str">
        <f ca="1">+IF(AND('Mapa de Riesgos'!$Y$21="Baja",'Mapa de Riesgos'!$AA$21="Catastrófico"),CONCATENATE("R",'Mapa de Riesgos'!$A$21),"")</f>
        <v/>
      </c>
      <c r="AE35" s="103" t="str">
        <f ca="1">+IF(AND('Mapa de Riesgos'!$Y$34="Baja",'Mapa de Riesgos'!$AA$34="Catastrófico"),CONCATENATE("R",'Mapa de Riesgos'!$A$34),"")</f>
        <v/>
      </c>
      <c r="AF35" s="103" t="e">
        <f>+IF(AND('Mapa de Riesgos'!#REF!="Baja",'Mapa de Riesgos'!#REF!="Catastrófico"),CONCATENATE("R",'Mapa de Riesgos'!#REF!),"")</f>
        <v>#REF!</v>
      </c>
      <c r="AG35" s="103" t="str">
        <f ca="1">+IF(AND('Mapa de Riesgos'!$Y$61="Baja",'Mapa de Riesgos'!$AA$61="Catastrófico"),CONCATENATE("R",'Mapa de Riesgos'!$A$61),"")</f>
        <v/>
      </c>
      <c r="AH35" s="129" t="str">
        <f>+IF(AND('Mapa de Riesgos'!$Y$82="Baja",'Mapa de Riesgos'!$AA$82="Catastrófico"),CONCATENATE("R",'Mapa de Riesgos'!$A$82),"")</f>
        <v/>
      </c>
      <c r="AI35" s="38"/>
      <c r="AJ35" s="332"/>
      <c r="AK35" s="333"/>
      <c r="AL35" s="333"/>
      <c r="AM35" s="333"/>
      <c r="AN35" s="333"/>
      <c r="AO35" s="334"/>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row>
    <row r="36" spans="1:75" ht="18.75" x14ac:dyDescent="0.3">
      <c r="A36" s="38"/>
      <c r="B36" s="294"/>
      <c r="C36" s="294"/>
      <c r="D36" s="295"/>
      <c r="E36" s="298"/>
      <c r="F36" s="299"/>
      <c r="G36" s="299"/>
      <c r="H36" s="299"/>
      <c r="I36" s="299"/>
      <c r="J36" s="124" t="str">
        <f ca="1">+IF(AND('Mapa de Riesgos'!$Y$23="Baja",'Mapa de Riesgos'!$AA$23="AAeve"),CONCATENATE("R",'Mapa de Riesgos'!$A$23),"")</f>
        <v/>
      </c>
      <c r="K36" s="105" t="str">
        <f ca="1">+IF(AND('Mapa de Riesgos'!$Y$36="Baja",'Mapa de Riesgos'!$AA$36="AAeve"),CONCATENATE("R",'Mapa de Riesgos'!$A$36),"")</f>
        <v/>
      </c>
      <c r="L36" s="105" t="str">
        <f ca="1">+IF(AND('Mapa de Riesgos'!$Y$48="Baja",'Mapa de Riesgos'!$AA$48="AAeve"),CONCATENATE("R",'Mapa de Riesgos'!$A$48),"")</f>
        <v/>
      </c>
      <c r="M36" s="105" t="str">
        <f ca="1">+IF(AND('Mapa de Riesgos'!$Y$63="Baja",'Mapa de Riesgos'!$AA$63="AAeve"),CONCATENATE("R",'Mapa de Riesgos'!$A$63),"")</f>
        <v/>
      </c>
      <c r="N36" s="105" t="str">
        <f>+IF(AND('Mapa de Riesgos'!$Y$88="Baja",'Mapa de Riesgos'!$AA$88="AAeve"),CONCATENATE("R",'Mapa de Riesgos'!$A$88),"")</f>
        <v/>
      </c>
      <c r="O36" s="117" t="str">
        <f ca="1">+IF(AND('Mapa de Riesgos'!$Y$23="Baja",'Mapa de Riesgos'!$AA$23="Menor"),CONCATENATE("R",'Mapa de Riesgos'!$A$23),"")</f>
        <v>R7</v>
      </c>
      <c r="P36" s="104" t="str">
        <f ca="1">+IF(AND('Mapa de Riesgos'!$Y$36="Baja",'Mapa de Riesgos'!$AA$36="Menor"),CONCATENATE("R",'Mapa de Riesgos'!$A$36),"")</f>
        <v/>
      </c>
      <c r="Q36" s="104" t="str">
        <f ca="1">+IF(AND('Mapa de Riesgos'!$Y$48="Baja",'Mapa de Riesgos'!$AA$48="Menor"),CONCATENATE("R",'Mapa de Riesgos'!$A$48),"")</f>
        <v>R23</v>
      </c>
      <c r="R36" s="104" t="str">
        <f ca="1">+IF(AND('Mapa de Riesgos'!$Y$63="Baja",'Mapa de Riesgos'!$AA$63="Menor"),CONCATENATE("R",'Mapa de Riesgos'!$A$63),"")</f>
        <v/>
      </c>
      <c r="S36" s="104" t="str">
        <f>+IF(AND('Mapa de Riesgos'!$Y$88="Baja",'Mapa de Riesgos'!$AA$88="Menor"),CONCATENATE("R",'Mapa de Riesgos'!$A$88),"")</f>
        <v/>
      </c>
      <c r="T36" s="117" t="str">
        <f ca="1">+IF(AND('Mapa de Riesgos'!$Y$23="Baja",'Mapa de Riesgos'!$AA$23="Moderado"),CONCATENATE("R",'Mapa de Riesgos'!$A$23),"")</f>
        <v/>
      </c>
      <c r="U36" s="104" t="str">
        <f ca="1">+IF(AND('Mapa de Riesgos'!$Y$36="Baja",'Mapa de Riesgos'!$AA$36="Moderado"),CONCATENATE("R",'Mapa de Riesgos'!$A$36),"")</f>
        <v>R15</v>
      </c>
      <c r="V36" s="104" t="str">
        <f ca="1">+IF(AND('Mapa de Riesgos'!$Y$48="Baja",'Mapa de Riesgos'!$AA$48="Moderado"),CONCATENATE("R",'Mapa de Riesgos'!$A$48),"")</f>
        <v/>
      </c>
      <c r="W36" s="104" t="str">
        <f ca="1">+IF(AND('Mapa de Riesgos'!$Y$63="Baja",'Mapa de Riesgos'!$AA$63="Moderado"),CONCATENATE("R",'Mapa de Riesgos'!$A$63),"")</f>
        <v>R31</v>
      </c>
      <c r="X36" s="118" t="str">
        <f>+IF(AND('Mapa de Riesgos'!$Y$88="Baja",'Mapa de Riesgos'!$AA$88="Moderado"),CONCATENATE("R",'Mapa de Riesgos'!$A$88),"")</f>
        <v/>
      </c>
      <c r="Y36" s="102" t="str">
        <f ca="1">+IF(AND('Mapa de Riesgos'!$Y$23="Baja",'Mapa de Riesgos'!$AA$23="Mayor"),CONCATENATE("R",'Mapa de Riesgos'!$A$23),"")</f>
        <v/>
      </c>
      <c r="Z36" s="102" t="str">
        <f ca="1">+IF(AND('Mapa de Riesgos'!$Y$36="Baja",'Mapa de Riesgos'!$AA$36="Mayor"),CONCATENATE("R",'Mapa de Riesgos'!$A$36),"")</f>
        <v/>
      </c>
      <c r="AA36" s="102" t="str">
        <f ca="1">+IF(AND('Mapa de Riesgos'!$Y$48="Baja",'Mapa de Riesgos'!$AA$48="Mayor"),CONCATENATE("R",'Mapa de Riesgos'!$A$48),"")</f>
        <v/>
      </c>
      <c r="AB36" s="102" t="str">
        <f ca="1">+IF(AND('Mapa de Riesgos'!$Y$63="Baja",'Mapa de Riesgos'!$AA$63="Mayor"),CONCATENATE("R",'Mapa de Riesgos'!$A$63),"")</f>
        <v/>
      </c>
      <c r="AC36" s="102" t="str">
        <f>+IF(AND('Mapa de Riesgos'!$Y$88="Baja",'Mapa de Riesgos'!$AA$88="Mayor"),CONCATENATE("R",'Mapa de Riesgos'!$A$88),"")</f>
        <v/>
      </c>
      <c r="AD36" s="133" t="str">
        <f ca="1">+IF(AND('Mapa de Riesgos'!$Y$23="Baja",'Mapa de Riesgos'!$AA$23="Catastrófico"),CONCATENATE("R",'Mapa de Riesgos'!$A$23),"")</f>
        <v/>
      </c>
      <c r="AE36" s="103" t="str">
        <f ca="1">+IF(AND('Mapa de Riesgos'!$Y$36="Baja",'Mapa de Riesgos'!$AA$36="Catastrófico"),CONCATENATE("R",'Mapa de Riesgos'!$A$36),"")</f>
        <v/>
      </c>
      <c r="AF36" s="103" t="str">
        <f ca="1">+IF(AND('Mapa de Riesgos'!$Y$48="Baja",'Mapa de Riesgos'!$AA$48="Catastrófico"),CONCATENATE("R",'Mapa de Riesgos'!$A$48),"")</f>
        <v/>
      </c>
      <c r="AG36" s="103" t="str">
        <f ca="1">+IF(AND('Mapa de Riesgos'!$Y$63="Baja",'Mapa de Riesgos'!$AA$63="Catastrófico"),CONCATENATE("R",'Mapa de Riesgos'!$A$63),"")</f>
        <v/>
      </c>
      <c r="AH36" s="129" t="str">
        <f>+IF(AND('Mapa de Riesgos'!$Y$88="Baja",'Mapa de Riesgos'!$AA$88="Catastrófico"),CONCATENATE("R",'Mapa de Riesgos'!$A$88),"")</f>
        <v/>
      </c>
      <c r="AI36" s="38"/>
      <c r="AJ36" s="332"/>
      <c r="AK36" s="333"/>
      <c r="AL36" s="333"/>
      <c r="AM36" s="333"/>
      <c r="AN36" s="333"/>
      <c r="AO36" s="334"/>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row>
    <row r="37" spans="1:75" ht="19.5" thickBot="1" x14ac:dyDescent="0.35">
      <c r="A37" s="38"/>
      <c r="B37" s="294"/>
      <c r="C37" s="294"/>
      <c r="D37" s="295"/>
      <c r="E37" s="300"/>
      <c r="F37" s="301"/>
      <c r="G37" s="301"/>
      <c r="H37" s="301"/>
      <c r="I37" s="301"/>
      <c r="J37" s="124" t="str">
        <f ca="1">+IF(AND('Mapa de Riesgos'!$Y$26="Baja",'Mapa de Riesgos'!$AA$26="AAeve"),CONCATENATE("R",'Mapa de Riesgos'!$A$26),"")</f>
        <v/>
      </c>
      <c r="K37" s="105" t="str">
        <f ca="1">+IF(AND('Mapa de Riesgos'!$Y$37="Baja",'Mapa de Riesgos'!$AA$37="AAeve"),CONCATENATE("R",'Mapa de Riesgos'!$A$37),"")</f>
        <v/>
      </c>
      <c r="L37" s="105" t="str">
        <f ca="1">+IF(AND('Mapa de Riesgos'!$Y$51="Baja",'Mapa de Riesgos'!$AA$51="AAeve"),CONCATENATE("R",'Mapa de Riesgos'!$A$51),"")</f>
        <v/>
      </c>
      <c r="M37" s="105" t="str">
        <f ca="1">+IF(AND('Mapa de Riesgos'!$Y$64="Baja",'Mapa de Riesgos'!$AA$64="AAeve"),CONCATENATE("R",'Mapa de Riesgos'!$A$64),"")</f>
        <v/>
      </c>
      <c r="N37" s="105" t="str">
        <f>+IF(AND('Mapa de Riesgos'!$Y$94="Baja",'Mapa de Riesgos'!$AA$94="AAeve"),CONCATENATE("R",'Mapa de Riesgos'!$A$94),"")</f>
        <v/>
      </c>
      <c r="O37" s="117" t="str">
        <f ca="1">+IF(AND('Mapa de Riesgos'!$Y$26="Baja",'Mapa de Riesgos'!$AA$26="Menor"),CONCATENATE("R",'Mapa de Riesgos'!$A$26),"")</f>
        <v/>
      </c>
      <c r="P37" s="104" t="str">
        <f ca="1">+IF(AND('Mapa de Riesgos'!$Y$37="Baja",'Mapa de Riesgos'!$AA$37="Menor"),CONCATENATE("R",'Mapa de Riesgos'!$A$37),"")</f>
        <v/>
      </c>
      <c r="Q37" s="104" t="str">
        <f ca="1">+IF(AND('Mapa de Riesgos'!$Y$51="Baja",'Mapa de Riesgos'!$AA$51="Menor"),CONCATENATE("R",'Mapa de Riesgos'!$A$51),"")</f>
        <v/>
      </c>
      <c r="R37" s="104" t="str">
        <f ca="1">+IF(AND('Mapa de Riesgos'!$Y$64="Baja",'Mapa de Riesgos'!$AA$64="Menor"),CONCATENATE("R",'Mapa de Riesgos'!$A$64),"")</f>
        <v/>
      </c>
      <c r="S37" s="104" t="str">
        <f>+IF(AND('Mapa de Riesgos'!$Y$94="Baja",'Mapa de Riesgos'!$AA$94="Menor"),CONCATENATE("R",'Mapa de Riesgos'!$A$94),"")</f>
        <v/>
      </c>
      <c r="T37" s="117" t="str">
        <f ca="1">+IF(AND('Mapa de Riesgos'!$Y$26="Baja",'Mapa de Riesgos'!$AA$26="Moderado"),CONCATENATE("R",'Mapa de Riesgos'!$A$26),"")</f>
        <v/>
      </c>
      <c r="U37" s="104" t="str">
        <f ca="1">+IF(AND('Mapa de Riesgos'!$Y$37="Baja",'Mapa de Riesgos'!$AA$37="Moderado"),CONCATENATE("R",'Mapa de Riesgos'!$A$37),"")</f>
        <v/>
      </c>
      <c r="V37" s="104" t="str">
        <f ca="1">+IF(AND('Mapa de Riesgos'!$Y$51="Baja",'Mapa de Riesgos'!$AA$51="Moderado"),CONCATENATE("R",'Mapa de Riesgos'!$A$51),"")</f>
        <v>R24</v>
      </c>
      <c r="W37" s="104" t="str">
        <f ca="1">+IF(AND('Mapa de Riesgos'!$Y$64="Baja",'Mapa de Riesgos'!$AA$64="Moderado"),CONCATENATE("R",'Mapa de Riesgos'!$A$64),"")</f>
        <v/>
      </c>
      <c r="X37" s="118" t="str">
        <f>+IF(AND('Mapa de Riesgos'!$Y$94="Baja",'Mapa de Riesgos'!$AA$94="Moderado"),CONCATENATE("R",'Mapa de Riesgos'!$A$94),"")</f>
        <v/>
      </c>
      <c r="Y37" s="102" t="str">
        <f ca="1">+IF(AND('Mapa de Riesgos'!$Y$26="Baja",'Mapa de Riesgos'!$AA$26="Mayor"),CONCATENATE("R",'Mapa de Riesgos'!$A$26),"")</f>
        <v>R8</v>
      </c>
      <c r="Z37" s="102" t="str">
        <f ca="1">+IF(AND('Mapa de Riesgos'!$Y$37="Baja",'Mapa de Riesgos'!$AA$37="Mayor"),CONCATENATE("R",'Mapa de Riesgos'!$A$37),"")</f>
        <v>R16</v>
      </c>
      <c r="AA37" s="102" t="str">
        <f ca="1">+IF(AND('Mapa de Riesgos'!$Y$51="Baja",'Mapa de Riesgos'!$AA$51="Mayor"),CONCATENATE("R",'Mapa de Riesgos'!$A$51),"")</f>
        <v/>
      </c>
      <c r="AB37" s="102" t="str">
        <f ca="1">+IF(AND('Mapa de Riesgos'!$Y$64="Baja",'Mapa de Riesgos'!$AA$64="Mayor"),CONCATENATE("R",'Mapa de Riesgos'!$A$64),"")</f>
        <v/>
      </c>
      <c r="AC37" s="102" t="str">
        <f>+IF(AND('Mapa de Riesgos'!$Y$94="Baja",'Mapa de Riesgos'!$AA$94="Mayor"),CONCATENATE("R",'Mapa de Riesgos'!$A$94),"")</f>
        <v/>
      </c>
      <c r="AD37" s="133" t="str">
        <f ca="1">+IF(AND('Mapa de Riesgos'!$Y$26="Baja",'Mapa de Riesgos'!$AA$26="Catastrófico"),CONCATENATE("R",'Mapa de Riesgos'!$A$26),"")</f>
        <v/>
      </c>
      <c r="AE37" s="103" t="str">
        <f ca="1">+IF(AND('Mapa de Riesgos'!$Y$37="Baja",'Mapa de Riesgos'!$AA$37="Catastrófico"),CONCATENATE("R",'Mapa de Riesgos'!$A$37),"")</f>
        <v/>
      </c>
      <c r="AF37" s="103" t="str">
        <f ca="1">+IF(AND('Mapa de Riesgos'!$Y$51="Baja",'Mapa de Riesgos'!$AA$51="Catastrófico"),CONCATENATE("R",'Mapa de Riesgos'!$A$51),"")</f>
        <v/>
      </c>
      <c r="AG37" s="103" t="str">
        <f ca="1">+IF(AND('Mapa de Riesgos'!$Y$64="Baja",'Mapa de Riesgos'!$AA$64="Catastrófico"),CONCATENATE("R",'Mapa de Riesgos'!$A$64),"")</f>
        <v/>
      </c>
      <c r="AH37" s="129" t="str">
        <f>+IF(AND('Mapa de Riesgos'!$Y$94="Baja",'Mapa de Riesgos'!$AA$94="Catastrófico"),CONCATENATE("R",'Mapa de Riesgos'!$A$94),"")</f>
        <v/>
      </c>
      <c r="AI37" s="38"/>
      <c r="AJ37" s="335"/>
      <c r="AK37" s="336"/>
      <c r="AL37" s="336"/>
      <c r="AM37" s="336"/>
      <c r="AN37" s="336"/>
      <c r="AO37" s="337"/>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row>
    <row r="38" spans="1:75" ht="18.75" x14ac:dyDescent="0.3">
      <c r="A38" s="38"/>
      <c r="B38" s="294"/>
      <c r="C38" s="294"/>
      <c r="D38" s="295"/>
      <c r="E38" s="296" t="s">
        <v>89</v>
      </c>
      <c r="F38" s="297"/>
      <c r="G38" s="297"/>
      <c r="H38" s="297"/>
      <c r="I38" s="297"/>
      <c r="J38" s="122" t="str">
        <f ca="1">+IF(AND('Mapa de Riesgos'!$Y$7="Muy Baja",'Mapa de Riesgos'!$AA$7="AAeve"),CONCATENATE("R",'Mapa de Riesgos'!$A$7),"")</f>
        <v/>
      </c>
      <c r="K38" s="123" t="str">
        <f ca="1">+IF(AND('Mapa de Riesgos'!$Y$27="Muy Baja",'Mapa de Riesgos'!$AA$27="AAeve"),CONCATENATE("R",'Mapa de Riesgos'!$A$27),"")</f>
        <v/>
      </c>
      <c r="L38" s="123" t="str">
        <f ca="1">+IF(AND('Mapa de Riesgos'!$Y$39="Muy Baja",'Mapa de Riesgos'!$AA$39="AAeve"),CONCATENATE("R",'Mapa de Riesgos'!$A$39),"")</f>
        <v/>
      </c>
      <c r="M38" s="123" t="str">
        <f ca="1">+IF(AND('Mapa de Riesgos'!$Y$53="Muy Baja",'Mapa de Riesgos'!$AA$53="AAeve"),CONCATENATE("R",'Mapa de Riesgos'!$A$53),"")</f>
        <v/>
      </c>
      <c r="N38" s="123" t="str">
        <f ca="1">+IF(AND('Mapa de Riesgos'!$Y$66="Muy Baja",'Mapa de Riesgos'!$AA$66="AAeve"),CONCATENATE("R",'Mapa de Riesgos'!$A$66),"")</f>
        <v/>
      </c>
      <c r="O38" s="122" t="str">
        <f ca="1">+IF(AND('Mapa de Riesgos'!$Y$7="Muy Baja",'Mapa de Riesgos'!$AA$7="Menor"),CONCATENATE("R",'Mapa de Riesgos'!$A$7),"")</f>
        <v/>
      </c>
      <c r="P38" s="123" t="str">
        <f ca="1">+IF(AND('Mapa de Riesgos'!$Y$27="Muy Baja",'Mapa de Riesgos'!$AA$27="Menor"),CONCATENATE("R",'Mapa de Riesgos'!$A$27),"")</f>
        <v/>
      </c>
      <c r="Q38" s="123" t="str">
        <f ca="1">+IF(AND('Mapa de Riesgos'!$Y$39="Muy Baja",'Mapa de Riesgos'!$AA$39="Menor"),CONCATENATE("R",'Mapa de Riesgos'!$A$39),"")</f>
        <v/>
      </c>
      <c r="R38" s="123" t="str">
        <f ca="1">+IF(AND('Mapa de Riesgos'!$Y$53="Muy Baja",'Mapa de Riesgos'!$AA$53="Menor"),CONCATENATE("R",'Mapa de Riesgos'!$A$53),"")</f>
        <v/>
      </c>
      <c r="S38" s="123" t="str">
        <f ca="1">+IF(AND('Mapa de Riesgos'!$Y$66="Muy Baja",'Mapa de Riesgos'!$AA$66="Menor"),CONCATENATE("R",'Mapa de Riesgos'!$A$66),"")</f>
        <v/>
      </c>
      <c r="T38" s="114" t="str">
        <f ca="1">+IF(AND('Mapa de Riesgos'!$Y$7="Muy Baja",'Mapa de Riesgos'!$AA$7="Moderado"),CONCATENATE("R",'Mapa de Riesgos'!$A$7),"")</f>
        <v/>
      </c>
      <c r="U38" s="115" t="str">
        <f ca="1">+IF(AND('Mapa de Riesgos'!$Y$27="Muy Baja",'Mapa de Riesgos'!$AA$27="Moderado"),CONCATENATE("R",'Mapa de Riesgos'!$A$27),"")</f>
        <v/>
      </c>
      <c r="V38" s="115" t="str">
        <f ca="1">+IF(AND('Mapa de Riesgos'!$Y$39="Muy Baja",'Mapa de Riesgos'!$AA$39="Moderado"),CONCATENATE("R",'Mapa de Riesgos'!$A$39),"")</f>
        <v/>
      </c>
      <c r="W38" s="115" t="str">
        <f ca="1">+IF(AND('Mapa de Riesgos'!$Y$53="Muy Baja",'Mapa de Riesgos'!$AA$53="Moderado"),CONCATENATE("R",'Mapa de Riesgos'!$A$53),"")</f>
        <v/>
      </c>
      <c r="X38" s="116" t="str">
        <f ca="1">+IF(AND('Mapa de Riesgos'!$Y$66="Muy Baja",'Mapa de Riesgos'!$AA$66="Moderado"),CONCATENATE("R",'Mapa de Riesgos'!$A$66),"")</f>
        <v/>
      </c>
      <c r="Y38" s="107" t="str">
        <f ca="1">+IF(AND('Mapa de Riesgos'!$Y$7="Muy Baja",'Mapa de Riesgos'!$AA$7="Mayor"),CONCATENATE("R",'Mapa de Riesgos'!$A$7),"")</f>
        <v/>
      </c>
      <c r="Z38" s="107" t="str">
        <f ca="1">+IF(AND('Mapa de Riesgos'!$Y$27="Muy Baja",'Mapa de Riesgos'!$AA$27="Mayor"),CONCATENATE("R",'Mapa de Riesgos'!$A$27),"")</f>
        <v/>
      </c>
      <c r="AA38" s="107" t="str">
        <f ca="1">+IF(AND('Mapa de Riesgos'!$Y$39="Muy Baja",'Mapa de Riesgos'!$AA$39="Mayor"),CONCATENATE("R",'Mapa de Riesgos'!$A$39),"")</f>
        <v/>
      </c>
      <c r="AB38" s="107" t="str">
        <f ca="1">+IF(AND('Mapa de Riesgos'!$Y$53="Muy Baja",'Mapa de Riesgos'!$AA$53="Mayor"),CONCATENATE("R",'Mapa de Riesgos'!$A$53),"")</f>
        <v/>
      </c>
      <c r="AC38" s="108" t="str">
        <f ca="1">+IF(AND('Mapa de Riesgos'!$Y$66="Muy Baja",'Mapa de Riesgos'!$AA$66="Mayor"),CONCATENATE("R",'Mapa de Riesgos'!$A$66),"")</f>
        <v/>
      </c>
      <c r="AD38" s="127" t="str">
        <f ca="1">+IF(AND('Mapa de Riesgos'!$Y$7="Muy Baja",'Mapa de Riesgos'!$AA$7="Catastrófico"),CONCATENATE("R",'Mapa de Riesgos'!$A$7),"")</f>
        <v/>
      </c>
      <c r="AE38" s="127" t="str">
        <f ca="1">+IF(AND('Mapa de Riesgos'!$Y$27="Muy Baja",'Mapa de Riesgos'!$AA$27="Catastrófico"),CONCATENATE("R",'Mapa de Riesgos'!$A$27),"")</f>
        <v/>
      </c>
      <c r="AF38" s="127" t="str">
        <f ca="1">+IF(AND('Mapa de Riesgos'!$Y$39="Muy Baja",'Mapa de Riesgos'!$AA$39="Catastrófico"),CONCATENATE("R",'Mapa de Riesgos'!$A$39),"")</f>
        <v/>
      </c>
      <c r="AG38" s="127" t="str">
        <f ca="1">+IF(AND('Mapa de Riesgos'!$Y$53="Muy Baja",'Mapa de Riesgos'!$AA$53="Catastrófico"),CONCATENATE("R",'Mapa de Riesgos'!$A$53),"")</f>
        <v/>
      </c>
      <c r="AH38" s="128" t="str">
        <f ca="1">+IF(AND('Mapa de Riesgos'!$Y$66="Muy Baja",'Mapa de Riesgos'!$AA$66="Catastrófico"),CONCATENATE("R",'Mapa de Riesgos'!$A$66),"")</f>
        <v/>
      </c>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row>
    <row r="39" spans="1:75" ht="18.75" x14ac:dyDescent="0.3">
      <c r="A39" s="38"/>
      <c r="B39" s="294"/>
      <c r="C39" s="294"/>
      <c r="D39" s="295"/>
      <c r="E39" s="298"/>
      <c r="F39" s="299"/>
      <c r="G39" s="299"/>
      <c r="H39" s="299"/>
      <c r="I39" s="299"/>
      <c r="J39" s="124" t="str">
        <f ca="1">+IF(AND('Mapa de Riesgos'!$Y$9="Muy Baja",'Mapa de Riesgos'!$AA$9="AAeve"),CONCATENATE("R",'Mapa de Riesgos'!$A$9),"")</f>
        <v/>
      </c>
      <c r="K39" s="105" t="str">
        <f ca="1">+IF(AND('Mapa de Riesgos'!$Y$28="Muy Baja",'Mapa de Riesgos'!$AA$28="AAeve"),CONCATENATE("R",'Mapa de Riesgos'!$A$28),"")</f>
        <v/>
      </c>
      <c r="L39" s="105" t="str">
        <f ca="1">+IF(AND('Mapa de Riesgos'!$Y$40="Muy Baja",'Mapa de Riesgos'!$AA$40="AAeve"),CONCATENATE("R",'Mapa de Riesgos'!$A$40),"")</f>
        <v/>
      </c>
      <c r="M39" s="105" t="str">
        <f ca="1">+IF(AND('Mapa de Riesgos'!$Y$56="Muy Baja",'Mapa de Riesgos'!$AA$56="AAeve"),CONCATENATE("R",'Mapa de Riesgos'!$A$56),"")</f>
        <v/>
      </c>
      <c r="N39" s="105" t="str">
        <f ca="1">+IF(AND('Mapa de Riesgos'!$Y$68="Muy Baja",'Mapa de Riesgos'!$AA$68="AAeve"),CONCATENATE("R",'Mapa de Riesgos'!$A$68),"")</f>
        <v/>
      </c>
      <c r="O39" s="124" t="str">
        <f ca="1">+IF(AND('Mapa de Riesgos'!$Y$9="Muy Baja",'Mapa de Riesgos'!$AA$9="Menor"),CONCATENATE("R",'Mapa de Riesgos'!$A$9),"")</f>
        <v/>
      </c>
      <c r="P39" s="105" t="str">
        <f ca="1">+IF(AND('Mapa de Riesgos'!$Y$28="Muy Baja",'Mapa de Riesgos'!$AA$28="Menor"),CONCATENATE("R",'Mapa de Riesgos'!$A$28),"")</f>
        <v/>
      </c>
      <c r="Q39" s="105" t="str">
        <f ca="1">+IF(AND('Mapa de Riesgos'!$Y$40="Muy Baja",'Mapa de Riesgos'!$AA$40="Menor"),CONCATENATE("R",'Mapa de Riesgos'!$A$40),"")</f>
        <v/>
      </c>
      <c r="R39" s="105" t="str">
        <f ca="1">+IF(AND('Mapa de Riesgos'!$Y$56="Muy Baja",'Mapa de Riesgos'!$AA$56="Menor"),CONCATENATE("R",'Mapa de Riesgos'!$A$56),"")</f>
        <v/>
      </c>
      <c r="S39" s="105" t="str">
        <f ca="1">+IF(AND('Mapa de Riesgos'!$Y$68="Muy Baja",'Mapa de Riesgos'!$AA$68="Menor"),CONCATENATE("R",'Mapa de Riesgos'!$A$68),"")</f>
        <v/>
      </c>
      <c r="T39" s="117" t="str">
        <f ca="1">+IF(AND('Mapa de Riesgos'!$Y$9="Muy Baja",'Mapa de Riesgos'!$AA$9="Moderado"),CONCATENATE("R",'Mapa de Riesgos'!$A$9),"")</f>
        <v/>
      </c>
      <c r="U39" s="104" t="str">
        <f ca="1">+IF(AND('Mapa de Riesgos'!$Y$28="Muy Baja",'Mapa de Riesgos'!$AA$28="Moderado"),CONCATENATE("R",'Mapa de Riesgos'!$A$28),"")</f>
        <v/>
      </c>
      <c r="V39" s="104" t="str">
        <f ca="1">+IF(AND('Mapa de Riesgos'!$Y$40="Muy Baja",'Mapa de Riesgos'!$AA$40="Moderado"),CONCATENATE("R",'Mapa de Riesgos'!$A$40),"")</f>
        <v/>
      </c>
      <c r="W39" s="104" t="str">
        <f ca="1">+IF(AND('Mapa de Riesgos'!$Y$56="Muy Baja",'Mapa de Riesgos'!$AA$56="Moderado"),CONCATENATE("R",'Mapa de Riesgos'!$A$56),"")</f>
        <v/>
      </c>
      <c r="X39" s="118" t="str">
        <f ca="1">+IF(AND('Mapa de Riesgos'!$Y$68="Muy Baja",'Mapa de Riesgos'!$AA$68="Moderado"),CONCATENATE("R",'Mapa de Riesgos'!$A$68),"")</f>
        <v/>
      </c>
      <c r="Y39" s="102" t="str">
        <f ca="1">+IF(AND('Mapa de Riesgos'!$Y$9="Muy Baja",'Mapa de Riesgos'!$AA$9="Mayor"),CONCATENATE("R",'Mapa de Riesgos'!$A$9),"")</f>
        <v/>
      </c>
      <c r="Z39" s="102" t="str">
        <f ca="1">+IF(AND('Mapa de Riesgos'!$Y$28="Muy Baja",'Mapa de Riesgos'!$AA$28="Mayor"),CONCATENATE("R",'Mapa de Riesgos'!$A$28),"")</f>
        <v/>
      </c>
      <c r="AA39" s="102" t="str">
        <f ca="1">+IF(AND('Mapa de Riesgos'!$Y$40="Muy Baja",'Mapa de Riesgos'!$AA$40="Mayor"),CONCATENATE("R",'Mapa de Riesgos'!$A$40),"")</f>
        <v/>
      </c>
      <c r="AB39" s="102" t="str">
        <f ca="1">+IF(AND('Mapa de Riesgos'!$Y$56="Muy Baja",'Mapa de Riesgos'!$AA$56="Mayor"),CONCATENATE("R",'Mapa de Riesgos'!$A$56),"")</f>
        <v/>
      </c>
      <c r="AC39" s="110" t="str">
        <f ca="1">+IF(AND('Mapa de Riesgos'!$Y$68="Muy Baja",'Mapa de Riesgos'!$AA$68="Mayor"),CONCATENATE("R",'Mapa de Riesgos'!$A$68),"")</f>
        <v/>
      </c>
      <c r="AD39" s="103" t="str">
        <f ca="1">+IF(AND('Mapa de Riesgos'!$Y$9="Muy Baja",'Mapa de Riesgos'!$AA$9="Catastrófico"),CONCATENATE("R",'Mapa de Riesgos'!$A$9),"")</f>
        <v/>
      </c>
      <c r="AE39" s="103" t="str">
        <f ca="1">+IF(AND('Mapa de Riesgos'!$Y$28="Muy Baja",'Mapa de Riesgos'!$AA$28="Catastrófico"),CONCATENATE("R",'Mapa de Riesgos'!$A$28),"")</f>
        <v/>
      </c>
      <c r="AF39" s="103" t="str">
        <f ca="1">+IF(AND('Mapa de Riesgos'!$Y$40="Muy Baja",'Mapa de Riesgos'!$AA$40="Catastrófico"),CONCATENATE("R",'Mapa de Riesgos'!$A$40),"")</f>
        <v/>
      </c>
      <c r="AG39" s="103" t="str">
        <f ca="1">+IF(AND('Mapa de Riesgos'!$Y$56="Muy Baja",'Mapa de Riesgos'!$AA$56="Catastrófico"),CONCATENATE("R",'Mapa de Riesgos'!$A$56),"")</f>
        <v/>
      </c>
      <c r="AH39" s="129" t="str">
        <f ca="1">+IF(AND('Mapa de Riesgos'!$Y$68="Muy Baja",'Mapa de Riesgos'!$AA$68="Catastrófico"),CONCATENATE("R",'Mapa de Riesgos'!$A$68),"")</f>
        <v/>
      </c>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row>
    <row r="40" spans="1:75" ht="18.75" x14ac:dyDescent="0.3">
      <c r="A40" s="38"/>
      <c r="B40" s="294"/>
      <c r="C40" s="294"/>
      <c r="D40" s="295"/>
      <c r="E40" s="298"/>
      <c r="F40" s="299"/>
      <c r="G40" s="299"/>
      <c r="H40" s="299"/>
      <c r="I40" s="299"/>
      <c r="J40" s="124" t="str">
        <f ca="1">+IF(AND('Mapa de Riesgos'!$Y$15="Muy Baja",'Mapa de Riesgos'!$AA$15="AAeve"),CONCATENATE("R",'Mapa de Riesgos'!$A$15),"")</f>
        <v/>
      </c>
      <c r="K40" s="105" t="str">
        <f ca="1">+IF(AND('Mapa de Riesgos'!$Y$29="Muy Baja",'Mapa de Riesgos'!$AA$29="AAeve"),CONCATENATE("R",'Mapa de Riesgos'!$A$29),"")</f>
        <v/>
      </c>
      <c r="L40" s="105" t="str">
        <f ca="1">+IF(AND('Mapa de Riesgos'!$Y$42="Muy Baja",'Mapa de Riesgos'!$AA$42="AAeve"),CONCATENATE("R",'Mapa de Riesgos'!$A$42),"")</f>
        <v/>
      </c>
      <c r="M40" s="105" t="str">
        <f ca="1">+IF(AND('Mapa de Riesgos'!$Y$57="Muy Baja",'Mapa de Riesgos'!$AA$57="AAeve"),CONCATENATE("R",'Mapa de Riesgos'!$A$57),"")</f>
        <v/>
      </c>
      <c r="N40" s="105" t="str">
        <f ca="1">+IF(AND('Mapa de Riesgos'!$Y$70="Muy Baja",'Mapa de Riesgos'!$AA$70="AAeve"),CONCATENATE("R",'Mapa de Riesgos'!$A$70),"")</f>
        <v/>
      </c>
      <c r="O40" s="124" t="str">
        <f ca="1">+IF(AND('Mapa de Riesgos'!$Y$15="Muy Baja",'Mapa de Riesgos'!$AA$15="Menor"),CONCATENATE("R",'Mapa de Riesgos'!$A$15),"")</f>
        <v/>
      </c>
      <c r="P40" s="105" t="str">
        <f ca="1">+IF(AND('Mapa de Riesgos'!$Y$29="Muy Baja",'Mapa de Riesgos'!$AA$29="Menor"),CONCATENATE("R",'Mapa de Riesgos'!$A$29),"")</f>
        <v/>
      </c>
      <c r="Q40" s="105" t="str">
        <f ca="1">+IF(AND('Mapa de Riesgos'!$Y$42="Muy Baja",'Mapa de Riesgos'!$AA$42="Menor"),CONCATENATE("R",'Mapa de Riesgos'!$A$42),"")</f>
        <v/>
      </c>
      <c r="R40" s="105" t="str">
        <f ca="1">+IF(AND('Mapa de Riesgos'!$Y$57="Muy Baja",'Mapa de Riesgos'!$AA$57="Menor"),CONCATENATE("R",'Mapa de Riesgos'!$A$57),"")</f>
        <v/>
      </c>
      <c r="S40" s="105" t="str">
        <f ca="1">+IF(AND('Mapa de Riesgos'!$Y$70="Muy Baja",'Mapa de Riesgos'!$AA$70="Menor"),CONCATENATE("R",'Mapa de Riesgos'!$A$70),"")</f>
        <v/>
      </c>
      <c r="T40" s="117" t="str">
        <f ca="1">+IF(AND('Mapa de Riesgos'!$Y$15="Muy Baja",'Mapa de Riesgos'!$AA$15="Moderado"),CONCATENATE("R",'Mapa de Riesgos'!$A$15),"")</f>
        <v/>
      </c>
      <c r="U40" s="104" t="str">
        <f ca="1">+IF(AND('Mapa de Riesgos'!$Y$29="Muy Baja",'Mapa de Riesgos'!$AA$29="Moderado"),CONCATENATE("R",'Mapa de Riesgos'!$A$29),"")</f>
        <v/>
      </c>
      <c r="V40" s="104" t="str">
        <f ca="1">+IF(AND('Mapa de Riesgos'!$Y$42="Muy Baja",'Mapa de Riesgos'!$AA$42="Moderado"),CONCATENATE("R",'Mapa de Riesgos'!$A$42),"")</f>
        <v/>
      </c>
      <c r="W40" s="104" t="str">
        <f ca="1">+IF(AND('Mapa de Riesgos'!$Y$57="Muy Baja",'Mapa de Riesgos'!$AA$57="Moderado"),CONCATENATE("R",'Mapa de Riesgos'!$A$57),"")</f>
        <v/>
      </c>
      <c r="X40" s="118" t="str">
        <f ca="1">+IF(AND('Mapa de Riesgos'!$Y$70="Muy Baja",'Mapa de Riesgos'!$AA$70="Moderado"),CONCATENATE("R",'Mapa de Riesgos'!$A$70),"")</f>
        <v/>
      </c>
      <c r="Y40" s="102" t="str">
        <f ca="1">+IF(AND('Mapa de Riesgos'!$Y$15="Muy Baja",'Mapa de Riesgos'!$AA$15="Mayor"),CONCATENATE("R",'Mapa de Riesgos'!$A$15),"")</f>
        <v/>
      </c>
      <c r="Z40" s="102" t="str">
        <f ca="1">+IF(AND('Mapa de Riesgos'!$Y$29="Muy Baja",'Mapa de Riesgos'!$AA$29="Mayor"),CONCATENATE("R",'Mapa de Riesgos'!$A$29),"")</f>
        <v/>
      </c>
      <c r="AA40" s="102" t="str">
        <f ca="1">+IF(AND('Mapa de Riesgos'!$Y$42="Muy Baja",'Mapa de Riesgos'!$AA$42="Mayor"),CONCATENATE("R",'Mapa de Riesgos'!$A$42),"")</f>
        <v/>
      </c>
      <c r="AB40" s="102" t="str">
        <f ca="1">+IF(AND('Mapa de Riesgos'!$Y$57="Muy Baja",'Mapa de Riesgos'!$AA$57="Mayor"),CONCATENATE("R",'Mapa de Riesgos'!$A$57),"")</f>
        <v/>
      </c>
      <c r="AC40" s="110" t="str">
        <f ca="1">+IF(AND('Mapa de Riesgos'!$Y$70="Muy Baja",'Mapa de Riesgos'!$AA$70="Mayor"),CONCATENATE("R",'Mapa de Riesgos'!$A$70),"")</f>
        <v/>
      </c>
      <c r="AD40" s="103" t="str">
        <f ca="1">+IF(AND('Mapa de Riesgos'!$Y$15="Muy Baja",'Mapa de Riesgos'!$AA$15="Catastrófico"),CONCATENATE("R",'Mapa de Riesgos'!$A$15),"")</f>
        <v/>
      </c>
      <c r="AE40" s="103" t="str">
        <f ca="1">+IF(AND('Mapa de Riesgos'!$Y$29="Muy Baja",'Mapa de Riesgos'!$AA$29="Catastrófico"),CONCATENATE("R",'Mapa de Riesgos'!$A$29),"")</f>
        <v/>
      </c>
      <c r="AF40" s="103" t="str">
        <f ca="1">+IF(AND('Mapa de Riesgos'!$Y$42="Muy Baja",'Mapa de Riesgos'!$AA$42="Catastrófico"),CONCATENATE("R",'Mapa de Riesgos'!$A$42),"")</f>
        <v/>
      </c>
      <c r="AG40" s="103" t="str">
        <f ca="1">+IF(AND('Mapa de Riesgos'!$Y$57="Muy Baja",'Mapa de Riesgos'!$AA$57="Catastrófico"),CONCATENATE("R",'Mapa de Riesgos'!$A$57),"")</f>
        <v/>
      </c>
      <c r="AH40" s="129" t="str">
        <f ca="1">+IF(AND('Mapa de Riesgos'!$Y$70="Muy Baja",'Mapa de Riesgos'!$AA$70="Catastrófico"),CONCATENATE("R",'Mapa de Riesgos'!$A$70),"")</f>
        <v/>
      </c>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row>
    <row r="41" spans="1:75" ht="18.75" x14ac:dyDescent="0.3">
      <c r="A41" s="38"/>
      <c r="B41" s="294"/>
      <c r="C41" s="294"/>
      <c r="D41" s="295"/>
      <c r="E41" s="298"/>
      <c r="F41" s="299"/>
      <c r="G41" s="299"/>
      <c r="H41" s="299"/>
      <c r="I41" s="299"/>
      <c r="J41" s="124" t="str">
        <f ca="1">+IF(AND('Mapa de Riesgos'!$Y$17="Muy Baja",'Mapa de Riesgos'!$AA$17="AAeve"),CONCATENATE("R",'Mapa de Riesgos'!$A$17),"")</f>
        <v/>
      </c>
      <c r="K41" s="105" t="str">
        <f ca="1">+IF(AND('Mapa de Riesgos'!$Y$30="Muy Baja",'Mapa de Riesgos'!$AA$30="AAeve"),CONCATENATE("R",'Mapa de Riesgos'!$A$30),"")</f>
        <v/>
      </c>
      <c r="L41" s="105" t="str">
        <f ca="1">+IF(AND('Mapa de Riesgos'!$Y$44="Muy Baja",'Mapa de Riesgos'!$AA$44="AAeve"),CONCATENATE("R",'Mapa de Riesgos'!$A$44),"")</f>
        <v/>
      </c>
      <c r="M41" s="105" t="str">
        <f ca="1">+IF(AND('Mapa de Riesgos'!$Y$58="Muy Baja",'Mapa de Riesgos'!$AA$58="AAeve"),CONCATENATE("R",'Mapa de Riesgos'!$A$58),"")</f>
        <v/>
      </c>
      <c r="N41" s="105" t="str">
        <f ca="1">+IF(AND('Mapa de Riesgos'!$Y$72="Muy Baja",'Mapa de Riesgos'!$AA$72="AAeve"),CONCATENATE("R",'Mapa de Riesgos'!$A$72),"")</f>
        <v/>
      </c>
      <c r="O41" s="124" t="str">
        <f ca="1">+IF(AND('Mapa de Riesgos'!$Y$17="Muy Baja",'Mapa de Riesgos'!$AA$17="Menor"),CONCATENATE("R",'Mapa de Riesgos'!$A$17),"")</f>
        <v/>
      </c>
      <c r="P41" s="105" t="str">
        <f ca="1">+IF(AND('Mapa de Riesgos'!$Y$30="Muy Baja",'Mapa de Riesgos'!$AA$30="Menor"),CONCATENATE("R",'Mapa de Riesgos'!$A$30),"")</f>
        <v/>
      </c>
      <c r="Q41" s="105" t="str">
        <f ca="1">+IF(AND('Mapa de Riesgos'!$Y$44="Muy Baja",'Mapa de Riesgos'!$AA$44="Menor"),CONCATENATE("R",'Mapa de Riesgos'!$A$44),"")</f>
        <v/>
      </c>
      <c r="R41" s="105" t="str">
        <f ca="1">+IF(AND('Mapa de Riesgos'!$Y$58="Muy Baja",'Mapa de Riesgos'!$AA$58="Menor"),CONCATENATE("R",'Mapa de Riesgos'!$A$58),"")</f>
        <v/>
      </c>
      <c r="S41" s="105" t="str">
        <f ca="1">+IF(AND('Mapa de Riesgos'!$Y$72="Muy Baja",'Mapa de Riesgos'!$AA$72="Menor"),CONCATENATE("R",'Mapa de Riesgos'!$A$72),"")</f>
        <v/>
      </c>
      <c r="T41" s="117" t="str">
        <f ca="1">+IF(AND('Mapa de Riesgos'!$Y$17="Muy Baja",'Mapa de Riesgos'!$AA$17="Moderado"),CONCATENATE("R",'Mapa de Riesgos'!$A$17),"")</f>
        <v/>
      </c>
      <c r="U41" s="104" t="str">
        <f ca="1">+IF(AND('Mapa de Riesgos'!$Y$30="Muy Baja",'Mapa de Riesgos'!$AA$30="Moderado"),CONCATENATE("R",'Mapa de Riesgos'!$A$30),"")</f>
        <v/>
      </c>
      <c r="V41" s="104" t="str">
        <f ca="1">+IF(AND('Mapa de Riesgos'!$Y$44="Muy Baja",'Mapa de Riesgos'!$AA$44="Moderado"),CONCATENATE("R",'Mapa de Riesgos'!$A$44),"")</f>
        <v/>
      </c>
      <c r="W41" s="104" t="str">
        <f ca="1">+IF(AND('Mapa de Riesgos'!$Y$58="Muy Baja",'Mapa de Riesgos'!$AA$58="Moderado"),CONCATENATE("R",'Mapa de Riesgos'!$A$58),"")</f>
        <v/>
      </c>
      <c r="X41" s="118" t="str">
        <f ca="1">+IF(AND('Mapa de Riesgos'!$Y$72="Muy Baja",'Mapa de Riesgos'!$AA$72="Moderado"),CONCATENATE("R",'Mapa de Riesgos'!$A$72),"")</f>
        <v/>
      </c>
      <c r="Y41" s="102" t="str">
        <f ca="1">+IF(AND('Mapa de Riesgos'!$Y$17="Muy Baja",'Mapa de Riesgos'!$AA$17="Mayor"),CONCATENATE("R",'Mapa de Riesgos'!$A$17),"")</f>
        <v/>
      </c>
      <c r="Z41" s="102" t="str">
        <f ca="1">+IF(AND('Mapa de Riesgos'!$Y$30="Muy Baja",'Mapa de Riesgos'!$AA$30="Mayor"),CONCATENATE("R",'Mapa de Riesgos'!$A$30),"")</f>
        <v/>
      </c>
      <c r="AA41" s="102" t="str">
        <f ca="1">+IF(AND('Mapa de Riesgos'!$Y$44="Muy Baja",'Mapa de Riesgos'!$AA$44="Mayor"),CONCATENATE("R",'Mapa de Riesgos'!$A$44),"")</f>
        <v/>
      </c>
      <c r="AB41" s="102" t="str">
        <f ca="1">+IF(AND('Mapa de Riesgos'!$Y$58="Muy Baja",'Mapa de Riesgos'!$AA$58="Mayor"),CONCATENATE("R",'Mapa de Riesgos'!$A$58),"")</f>
        <v/>
      </c>
      <c r="AC41" s="110" t="str">
        <f ca="1">+IF(AND('Mapa de Riesgos'!$Y$72="Muy Baja",'Mapa de Riesgos'!$AA$72="Mayor"),CONCATENATE("R",'Mapa de Riesgos'!$A$72),"")</f>
        <v/>
      </c>
      <c r="AD41" s="103" t="str">
        <f ca="1">+IF(AND('Mapa de Riesgos'!$Y$17="Muy Baja",'Mapa de Riesgos'!$AA$17="Catastrófico"),CONCATENATE("R",'Mapa de Riesgos'!$A$17),"")</f>
        <v/>
      </c>
      <c r="AE41" s="103" t="str">
        <f ca="1">+IF(AND('Mapa de Riesgos'!$Y$30="Muy Baja",'Mapa de Riesgos'!$AA$30="Catastrófico"),CONCATENATE("R",'Mapa de Riesgos'!$A$30),"")</f>
        <v/>
      </c>
      <c r="AF41" s="103" t="str">
        <f ca="1">+IF(AND('Mapa de Riesgos'!$Y$44="Muy Baja",'Mapa de Riesgos'!$AA$44="Catastrófico"),CONCATENATE("R",'Mapa de Riesgos'!$A$44),"")</f>
        <v/>
      </c>
      <c r="AG41" s="103" t="str">
        <f ca="1">+IF(AND('Mapa de Riesgos'!$Y$58="Muy Baja",'Mapa de Riesgos'!$AA$58="Catastrófico"),CONCATENATE("R",'Mapa de Riesgos'!$A$58),"")</f>
        <v/>
      </c>
      <c r="AH41" s="129" t="str">
        <f ca="1">+IF(AND('Mapa de Riesgos'!$Y$72="Muy Baja",'Mapa de Riesgos'!$AA$72="Catastrófico"),CONCATENATE("R",'Mapa de Riesgos'!$A$72),"")</f>
        <v/>
      </c>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row>
    <row r="42" spans="1:75" ht="18.75" x14ac:dyDescent="0.3">
      <c r="A42" s="38"/>
      <c r="B42" s="294"/>
      <c r="C42" s="294"/>
      <c r="D42" s="295"/>
      <c r="E42" s="298"/>
      <c r="F42" s="299"/>
      <c r="G42" s="299"/>
      <c r="H42" s="299"/>
      <c r="I42" s="299"/>
      <c r="J42" s="124" t="str">
        <f ca="1">+IF(AND('Mapa de Riesgos'!$Y$19="Muy Baja",'Mapa de Riesgos'!$AA$19="AAeve"),CONCATENATE("R",'Mapa de Riesgos'!$A$19),"")</f>
        <v/>
      </c>
      <c r="K42" s="105" t="str">
        <f ca="1">+IF(AND('Mapa de Riesgos'!$Y$32="Muy Baja",'Mapa de Riesgos'!$AA$32="AAeve"),CONCATENATE("R",'Mapa de Riesgos'!$A$32),"")</f>
        <v/>
      </c>
      <c r="L42" s="105" t="str">
        <f ca="1">+IF(AND('Mapa de Riesgos'!$Y$45="Muy Baja",'Mapa de Riesgos'!$AA$45="AAeve"),CONCATENATE("R",'Mapa de Riesgos'!$A$45),"")</f>
        <v/>
      </c>
      <c r="M42" s="105" t="str">
        <f ca="1">+IF(AND('Mapa de Riesgos'!$Y$60="Muy Baja",'Mapa de Riesgos'!$AA$60="AAeve"),CONCATENATE("R",'Mapa de Riesgos'!$A$60),"")</f>
        <v/>
      </c>
      <c r="N42" s="105" t="str">
        <f>+IF(AND('Mapa de Riesgos'!$Y$76="Muy Baja",'Mapa de Riesgos'!$AA$76="AAeve"),CONCATENATE("R",'Mapa de Riesgos'!$A$76),"")</f>
        <v/>
      </c>
      <c r="O42" s="124" t="str">
        <f ca="1">+IF(AND('Mapa de Riesgos'!$Y$19="Muy Baja",'Mapa de Riesgos'!$AA$19="Menor"),CONCATENATE("R",'Mapa de Riesgos'!$A$19),"")</f>
        <v/>
      </c>
      <c r="P42" s="105" t="str">
        <f ca="1">+IF(AND('Mapa de Riesgos'!$Y$32="Muy Baja",'Mapa de Riesgos'!$AA$32="Menor"),CONCATENATE("R",'Mapa de Riesgos'!$A$32),"")</f>
        <v/>
      </c>
      <c r="Q42" s="105" t="str">
        <f ca="1">+IF(AND('Mapa de Riesgos'!$Y$45="Muy Baja",'Mapa de Riesgos'!$AA$45="Menor"),CONCATENATE("R",'Mapa de Riesgos'!$A$45),"")</f>
        <v/>
      </c>
      <c r="R42" s="105" t="str">
        <f ca="1">+IF(AND('Mapa de Riesgos'!$Y$60="Muy Baja",'Mapa de Riesgos'!$AA$60="Menor"),CONCATENATE("R",'Mapa de Riesgos'!$A$60),"")</f>
        <v/>
      </c>
      <c r="S42" s="105" t="str">
        <f>+IF(AND('Mapa de Riesgos'!$Y$76="Muy Baja",'Mapa de Riesgos'!$AA$76="Menor"),CONCATENATE("R",'Mapa de Riesgos'!$A$76),"")</f>
        <v/>
      </c>
      <c r="T42" s="117" t="str">
        <f ca="1">+IF(AND('Mapa de Riesgos'!$Y$19="Muy Baja",'Mapa de Riesgos'!$AA$19="Moderado"),CONCATENATE("R",'Mapa de Riesgos'!$A$19),"")</f>
        <v/>
      </c>
      <c r="U42" s="104" t="str">
        <f ca="1">+IF(AND('Mapa de Riesgos'!$Y$32="Muy Baja",'Mapa de Riesgos'!$AA$32="Moderado"),CONCATENATE("R",'Mapa de Riesgos'!$A$32),"")</f>
        <v/>
      </c>
      <c r="V42" s="104" t="str">
        <f ca="1">+IF(AND('Mapa de Riesgos'!$Y$45="Muy Baja",'Mapa de Riesgos'!$AA$45="Moderado"),CONCATENATE("R",'Mapa de Riesgos'!$A$45),"")</f>
        <v/>
      </c>
      <c r="W42" s="104" t="str">
        <f ca="1">+IF(AND('Mapa de Riesgos'!$Y$60="Muy Baja",'Mapa de Riesgos'!$AA$60="Moderado"),CONCATENATE("R",'Mapa de Riesgos'!$A$60),"")</f>
        <v/>
      </c>
      <c r="X42" s="118" t="str">
        <f>+IF(AND('Mapa de Riesgos'!$Y$76="Muy Baja",'Mapa de Riesgos'!$AA$76="Moderado"),CONCATENATE("R",'Mapa de Riesgos'!$A$76),"")</f>
        <v/>
      </c>
      <c r="Y42" s="102" t="str">
        <f ca="1">+IF(AND('Mapa de Riesgos'!$Y$19="Muy Baja",'Mapa de Riesgos'!$AA$19="Mayor"),CONCATENATE("R",'Mapa de Riesgos'!$A$19),"")</f>
        <v/>
      </c>
      <c r="Z42" s="102" t="str">
        <f ca="1">+IF(AND('Mapa de Riesgos'!$Y$32="Muy Baja",'Mapa de Riesgos'!$AA$32="Mayor"),CONCATENATE("R",'Mapa de Riesgos'!$A$32),"")</f>
        <v/>
      </c>
      <c r="AA42" s="102" t="str">
        <f ca="1">+IF(AND('Mapa de Riesgos'!$Y$45="Muy Baja",'Mapa de Riesgos'!$AA$45="Mayor"),CONCATENATE("R",'Mapa de Riesgos'!$A$45),"")</f>
        <v/>
      </c>
      <c r="AB42" s="102" t="str">
        <f ca="1">+IF(AND('Mapa de Riesgos'!$Y$60="Muy Baja",'Mapa de Riesgos'!$AA$60="Mayor"),CONCATENATE("R",'Mapa de Riesgos'!$A$60),"")</f>
        <v/>
      </c>
      <c r="AC42" s="110" t="str">
        <f>+IF(AND('Mapa de Riesgos'!$Y$76="Muy Baja",'Mapa de Riesgos'!$AA$76="Mayor"),CONCATENATE("R",'Mapa de Riesgos'!$A$76),"")</f>
        <v/>
      </c>
      <c r="AD42" s="103" t="str">
        <f ca="1">+IF(AND('Mapa de Riesgos'!$Y$19="Muy Baja",'Mapa de Riesgos'!$AA$19="Catastrófico"),CONCATENATE("R",'Mapa de Riesgos'!$A$19),"")</f>
        <v/>
      </c>
      <c r="AE42" s="103" t="str">
        <f ca="1">+IF(AND('Mapa de Riesgos'!$Y$32="Muy Baja",'Mapa de Riesgos'!$AA$32="Catastrófico"),CONCATENATE("R",'Mapa de Riesgos'!$A$32),"")</f>
        <v/>
      </c>
      <c r="AF42" s="103" t="str">
        <f ca="1">+IF(AND('Mapa de Riesgos'!$Y$45="Muy Baja",'Mapa de Riesgos'!$AA$45="Catastrófico"),CONCATENATE("R",'Mapa de Riesgos'!$A$45),"")</f>
        <v/>
      </c>
      <c r="AG42" s="103" t="str">
        <f ca="1">+IF(AND('Mapa de Riesgos'!$Y$60="Muy Baja",'Mapa de Riesgos'!$AA$60="Catastrófico"),CONCATENATE("R",'Mapa de Riesgos'!$A$60),"")</f>
        <v/>
      </c>
      <c r="AH42" s="129" t="str">
        <f>+IF(AND('Mapa de Riesgos'!$Y$76="Muy Baja",'Mapa de Riesgos'!$AA$76="Catastrófico"),CONCATENATE("R",'Mapa de Riesgos'!$A$76),"")</f>
        <v/>
      </c>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row>
    <row r="43" spans="1:75" ht="18.75" x14ac:dyDescent="0.3">
      <c r="A43" s="38"/>
      <c r="B43" s="294"/>
      <c r="C43" s="294"/>
      <c r="D43" s="295"/>
      <c r="E43" s="298"/>
      <c r="F43" s="299"/>
      <c r="G43" s="299"/>
      <c r="H43" s="299"/>
      <c r="I43" s="299"/>
      <c r="J43" s="124" t="str">
        <f ca="1">+IF(AND('Mapa de Riesgos'!$Y$21="Muy Baja",'Mapa de Riesgos'!$AA$21="AAeve"),CONCATENATE("R",'Mapa de Riesgos'!$A$21),"")</f>
        <v/>
      </c>
      <c r="K43" s="105" t="str">
        <f ca="1">+IF(AND('Mapa de Riesgos'!$Y$34="Muy Baja",'Mapa de Riesgos'!$AA$34="AAeve"),CONCATENATE("R",'Mapa de Riesgos'!$A$34),"")</f>
        <v/>
      </c>
      <c r="L43" s="105" t="e">
        <f>+IF(AND('Mapa de Riesgos'!#REF!="Muy Baja",'Mapa de Riesgos'!#REF!="AAeve"),CONCATENATE("R",'Mapa de Riesgos'!#REF!),"")</f>
        <v>#REF!</v>
      </c>
      <c r="M43" s="105" t="str">
        <f ca="1">+IF(AND('Mapa de Riesgos'!$Y$61="Muy Baja",'Mapa de Riesgos'!$AA$61="AAeve"),CONCATENATE("R",'Mapa de Riesgos'!$A$61),"")</f>
        <v/>
      </c>
      <c r="N43" s="105" t="str">
        <f>+IF(AND('Mapa de Riesgos'!$Y$82="Muy Baja",'Mapa de Riesgos'!$AA$82="AAeve"),CONCATENATE("R",'Mapa de Riesgos'!$A$82),"")</f>
        <v/>
      </c>
      <c r="O43" s="124" t="str">
        <f ca="1">+IF(AND('Mapa de Riesgos'!$Y$21="Muy Baja",'Mapa de Riesgos'!$AA$21="Menor"),CONCATENATE("R",'Mapa de Riesgos'!$A$21),"")</f>
        <v/>
      </c>
      <c r="P43" s="105" t="str">
        <f ca="1">+IF(AND('Mapa de Riesgos'!$Y$34="Muy Baja",'Mapa de Riesgos'!$AA$34="Menor"),CONCATENATE("R",'Mapa de Riesgos'!$A$34),"")</f>
        <v/>
      </c>
      <c r="Q43" s="105" t="e">
        <f>+IF(AND('Mapa de Riesgos'!#REF!="Muy Baja",'Mapa de Riesgos'!#REF!="Menor"),CONCATENATE("R",'Mapa de Riesgos'!#REF!),"")</f>
        <v>#REF!</v>
      </c>
      <c r="R43" s="105" t="str">
        <f ca="1">+IF(AND('Mapa de Riesgos'!$Y$61="Muy Baja",'Mapa de Riesgos'!$AA$61="Menor"),CONCATENATE("R",'Mapa de Riesgos'!$A$61),"")</f>
        <v>R30</v>
      </c>
      <c r="S43" s="105" t="str">
        <f>+IF(AND('Mapa de Riesgos'!$Y$82="Muy Baja",'Mapa de Riesgos'!$AA$82="Menor"),CONCATENATE("R",'Mapa de Riesgos'!$A$82),"")</f>
        <v/>
      </c>
      <c r="T43" s="117" t="str">
        <f ca="1">+IF(AND('Mapa de Riesgos'!$Y$21="Muy Baja",'Mapa de Riesgos'!$AA$21="Moderado"),CONCATENATE("R",'Mapa de Riesgos'!$A$21),"")</f>
        <v/>
      </c>
      <c r="U43" s="104" t="str">
        <f ca="1">+IF(AND('Mapa de Riesgos'!$Y$34="Muy Baja",'Mapa de Riesgos'!$AA$34="Moderado"),CONCATENATE("R",'Mapa de Riesgos'!$A$34),"")</f>
        <v/>
      </c>
      <c r="V43" s="104" t="e">
        <f>+IF(AND('Mapa de Riesgos'!#REF!="Muy Baja",'Mapa de Riesgos'!#REF!="Moderado"),CONCATENATE("R",'Mapa de Riesgos'!#REF!),"")</f>
        <v>#REF!</v>
      </c>
      <c r="W43" s="104" t="str">
        <f ca="1">+IF(AND('Mapa de Riesgos'!$Y$61="Muy Baja",'Mapa de Riesgos'!$AA$61="Moderado"),CONCATENATE("R",'Mapa de Riesgos'!$A$61),"")</f>
        <v/>
      </c>
      <c r="X43" s="118" t="str">
        <f>+IF(AND('Mapa de Riesgos'!$Y$82="Muy Baja",'Mapa de Riesgos'!$AA$82="Moderado"),CONCATENATE("R",'Mapa de Riesgos'!$A$82),"")</f>
        <v/>
      </c>
      <c r="Y43" s="102" t="str">
        <f ca="1">+IF(AND('Mapa de Riesgos'!$Y$21="Muy Baja",'Mapa de Riesgos'!$AA$21="Mayor"),CONCATENATE("R",'Mapa de Riesgos'!$A$21),"")</f>
        <v/>
      </c>
      <c r="Z43" s="102" t="str">
        <f ca="1">+IF(AND('Mapa de Riesgos'!$Y$34="Muy Baja",'Mapa de Riesgos'!$AA$34="Mayor"),CONCATENATE("R",'Mapa de Riesgos'!$A$34),"")</f>
        <v/>
      </c>
      <c r="AA43" s="102" t="e">
        <f>+IF(AND('Mapa de Riesgos'!#REF!="Muy Baja",'Mapa de Riesgos'!#REF!="Mayor"),CONCATENATE("R",'Mapa de Riesgos'!#REF!),"")</f>
        <v>#REF!</v>
      </c>
      <c r="AB43" s="102" t="str">
        <f ca="1">+IF(AND('Mapa de Riesgos'!$Y$61="Muy Baja",'Mapa de Riesgos'!$AA$61="Mayor"),CONCATENATE("R",'Mapa de Riesgos'!$A$61),"")</f>
        <v/>
      </c>
      <c r="AC43" s="110" t="str">
        <f>+IF(AND('Mapa de Riesgos'!$Y$82="Muy Baja",'Mapa de Riesgos'!$AA$82="Mayor"),CONCATENATE("R",'Mapa de Riesgos'!$A$82),"")</f>
        <v/>
      </c>
      <c r="AD43" s="103" t="str">
        <f ca="1">+IF(AND('Mapa de Riesgos'!$Y$21="Muy Baja",'Mapa de Riesgos'!$AA$21="Catastrófico"),CONCATENATE("R",'Mapa de Riesgos'!$A$21),"")</f>
        <v/>
      </c>
      <c r="AE43" s="103" t="str">
        <f ca="1">+IF(AND('Mapa de Riesgos'!$Y$34="Muy Baja",'Mapa de Riesgos'!$AA$34="Catastrófico"),CONCATENATE("R",'Mapa de Riesgos'!$A$34),"")</f>
        <v/>
      </c>
      <c r="AF43" s="103" t="e">
        <f>+IF(AND('Mapa de Riesgos'!#REF!="Muy Baja",'Mapa de Riesgos'!#REF!="Catastrófico"),CONCATENATE("R",'Mapa de Riesgos'!#REF!),"")</f>
        <v>#REF!</v>
      </c>
      <c r="AG43" s="103" t="str">
        <f ca="1">+IF(AND('Mapa de Riesgos'!$Y$61="Muy Baja",'Mapa de Riesgos'!$AA$61="Catastrófico"),CONCATENATE("R",'Mapa de Riesgos'!$A$61),"")</f>
        <v/>
      </c>
      <c r="AH43" s="129" t="str">
        <f>+IF(AND('Mapa de Riesgos'!$Y$82="Muy Baja",'Mapa de Riesgos'!$AA$82="Catastrófico"),CONCATENATE("R",'Mapa de Riesgos'!$A$82),"")</f>
        <v/>
      </c>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row>
    <row r="44" spans="1:75" ht="18.75" x14ac:dyDescent="0.3">
      <c r="A44" s="38"/>
      <c r="B44" s="294"/>
      <c r="C44" s="294"/>
      <c r="D44" s="295"/>
      <c r="E44" s="298"/>
      <c r="F44" s="299"/>
      <c r="G44" s="299"/>
      <c r="H44" s="299"/>
      <c r="I44" s="299"/>
      <c r="J44" s="124" t="str">
        <f ca="1">+IF(AND('Mapa de Riesgos'!$Y$23="Muy Baja",'Mapa de Riesgos'!$AA$23="AAeve"),CONCATENATE("R",'Mapa de Riesgos'!$A$23),"")</f>
        <v/>
      </c>
      <c r="K44" s="105" t="str">
        <f ca="1">+IF(AND('Mapa de Riesgos'!$Y$36="Muy Baja",'Mapa de Riesgos'!$AA$36="AAeve"),CONCATENATE("R",'Mapa de Riesgos'!$A$36),"")</f>
        <v/>
      </c>
      <c r="L44" s="105" t="str">
        <f ca="1">+IF(AND('Mapa de Riesgos'!$Y$48="Muy Baja",'Mapa de Riesgos'!$AA$48="AAeve"),CONCATENATE("R",'Mapa de Riesgos'!$A$48),"")</f>
        <v/>
      </c>
      <c r="M44" s="105" t="str">
        <f ca="1">+IF(AND('Mapa de Riesgos'!$Y$63="Muy Baja",'Mapa de Riesgos'!$AA$63="AAeve"),CONCATENATE("R",'Mapa de Riesgos'!$A$63),"")</f>
        <v/>
      </c>
      <c r="N44" s="105" t="str">
        <f>+IF(AND('Mapa de Riesgos'!$Y$88="Muy Baja",'Mapa de Riesgos'!$AA$88="AAeve"),CONCATENATE("R",'Mapa de Riesgos'!$A$88),"")</f>
        <v/>
      </c>
      <c r="O44" s="124" t="str">
        <f ca="1">+IF(AND('Mapa de Riesgos'!$Y$23="Muy Baja",'Mapa de Riesgos'!$AA$23="Menor"),CONCATENATE("R",'Mapa de Riesgos'!$A$23),"")</f>
        <v/>
      </c>
      <c r="P44" s="105" t="str">
        <f ca="1">+IF(AND('Mapa de Riesgos'!$Y$36="Muy Baja",'Mapa de Riesgos'!$AA$36="Menor"),CONCATENATE("R",'Mapa de Riesgos'!$A$36),"")</f>
        <v/>
      </c>
      <c r="Q44" s="105" t="str">
        <f ca="1">+IF(AND('Mapa de Riesgos'!$Y$48="Muy Baja",'Mapa de Riesgos'!$AA$48="Menor"),CONCATENATE("R",'Mapa de Riesgos'!$A$48),"")</f>
        <v/>
      </c>
      <c r="R44" s="105" t="str">
        <f ca="1">+IF(AND('Mapa de Riesgos'!$Y$63="Muy Baja",'Mapa de Riesgos'!$AA$63="Menor"),CONCATENATE("R",'Mapa de Riesgos'!$A$63),"")</f>
        <v/>
      </c>
      <c r="S44" s="105" t="str">
        <f>+IF(AND('Mapa de Riesgos'!$Y$88="Muy Baja",'Mapa de Riesgos'!$AA$88="Menor"),CONCATENATE("R",'Mapa de Riesgos'!$A$88),"")</f>
        <v/>
      </c>
      <c r="T44" s="117" t="str">
        <f ca="1">+IF(AND('Mapa de Riesgos'!$Y$23="Muy Baja",'Mapa de Riesgos'!$AA$23="Moderado"),CONCATENATE("R",'Mapa de Riesgos'!$A$23),"")</f>
        <v/>
      </c>
      <c r="U44" s="104" t="str">
        <f ca="1">+IF(AND('Mapa de Riesgos'!$Y$36="Muy Baja",'Mapa de Riesgos'!$AA$36="Moderado"),CONCATENATE("R",'Mapa de Riesgos'!$A$36),"")</f>
        <v/>
      </c>
      <c r="V44" s="104" t="str">
        <f ca="1">+IF(AND('Mapa de Riesgos'!$Y$48="Muy Baja",'Mapa de Riesgos'!$AA$48="Moderado"),CONCATENATE("R",'Mapa de Riesgos'!$A$48),"")</f>
        <v/>
      </c>
      <c r="W44" s="104" t="str">
        <f ca="1">+IF(AND('Mapa de Riesgos'!$Y$63="Muy Baja",'Mapa de Riesgos'!$AA$63="Moderado"),CONCATENATE("R",'Mapa de Riesgos'!$A$63),"")</f>
        <v/>
      </c>
      <c r="X44" s="118" t="str">
        <f>+IF(AND('Mapa de Riesgos'!$Y$88="Muy Baja",'Mapa de Riesgos'!$AA$88="Moderado"),CONCATENATE("R",'Mapa de Riesgos'!$A$88),"")</f>
        <v/>
      </c>
      <c r="Y44" s="102" t="str">
        <f ca="1">+IF(AND('Mapa de Riesgos'!$Y$23="Muy Baja",'Mapa de Riesgos'!$AA$23="Mayor"),CONCATENATE("R",'Mapa de Riesgos'!$A$23),"")</f>
        <v/>
      </c>
      <c r="Z44" s="102" t="str">
        <f ca="1">+IF(AND('Mapa de Riesgos'!$Y$36="Muy Baja",'Mapa de Riesgos'!$AA$36="Mayor"),CONCATENATE("R",'Mapa de Riesgos'!$A$36),"")</f>
        <v/>
      </c>
      <c r="AA44" s="102" t="str">
        <f ca="1">+IF(AND('Mapa de Riesgos'!$Y$48="Muy Baja",'Mapa de Riesgos'!$AA$48="Mayor"),CONCATENATE("R",'Mapa de Riesgos'!$A$48),"")</f>
        <v/>
      </c>
      <c r="AB44" s="102" t="str">
        <f ca="1">+IF(AND('Mapa de Riesgos'!$Y$63="Muy Baja",'Mapa de Riesgos'!$AA$63="Mayor"),CONCATENATE("R",'Mapa de Riesgos'!$A$63),"")</f>
        <v/>
      </c>
      <c r="AC44" s="110" t="str">
        <f>+IF(AND('Mapa de Riesgos'!$Y$88="Muy Baja",'Mapa de Riesgos'!$AA$88="Mayor"),CONCATENATE("R",'Mapa de Riesgos'!$A$88),"")</f>
        <v/>
      </c>
      <c r="AD44" s="103" t="str">
        <f ca="1">+IF(AND('Mapa de Riesgos'!$Y$23="Muy Baja",'Mapa de Riesgos'!$AA$23="Catastrófico"),CONCATENATE("R",'Mapa de Riesgos'!$A$23),"")</f>
        <v/>
      </c>
      <c r="AE44" s="103" t="str">
        <f ca="1">+IF(AND('Mapa de Riesgos'!$Y$36="Muy Baja",'Mapa de Riesgos'!$AA$36="Catastrófico"),CONCATENATE("R",'Mapa de Riesgos'!$A$36),"")</f>
        <v/>
      </c>
      <c r="AF44" s="103" t="str">
        <f ca="1">+IF(AND('Mapa de Riesgos'!$Y$48="Muy Baja",'Mapa de Riesgos'!$AA$48="Catastrófico"),CONCATENATE("R",'Mapa de Riesgos'!$A$48),"")</f>
        <v/>
      </c>
      <c r="AG44" s="103" t="str">
        <f ca="1">+IF(AND('Mapa de Riesgos'!$Y$63="Muy Baja",'Mapa de Riesgos'!$AA$63="Catastrófico"),CONCATENATE("R",'Mapa de Riesgos'!$A$63),"")</f>
        <v/>
      </c>
      <c r="AH44" s="129" t="str">
        <f>+IF(AND('Mapa de Riesgos'!$Y$88="Muy Baja",'Mapa de Riesgos'!$AA$88="Catastrófico"),CONCATENATE("R",'Mapa de Riesgos'!$A$88),"")</f>
        <v/>
      </c>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row>
    <row r="45" spans="1:75" ht="19.5" thickBot="1" x14ac:dyDescent="0.35">
      <c r="A45" s="38"/>
      <c r="B45" s="294"/>
      <c r="C45" s="294"/>
      <c r="D45" s="295"/>
      <c r="E45" s="300"/>
      <c r="F45" s="301"/>
      <c r="G45" s="301"/>
      <c r="H45" s="301"/>
      <c r="I45" s="301"/>
      <c r="J45" s="125" t="str">
        <f ca="1">+IF(AND('Mapa de Riesgos'!$Y$26="Muy Baja",'Mapa de Riesgos'!$AA$26="AAeve"),CONCATENATE("R",'Mapa de Riesgos'!$A$26),"")</f>
        <v/>
      </c>
      <c r="K45" s="126" t="str">
        <f ca="1">+IF(AND('Mapa de Riesgos'!$Y$37="Muy Baja",'Mapa de Riesgos'!$AA$37="AAeve"),CONCATENATE("R",'Mapa de Riesgos'!$A$37),"")</f>
        <v/>
      </c>
      <c r="L45" s="126" t="str">
        <f ca="1">+IF(AND('Mapa de Riesgos'!$Y$51="Muy Baja",'Mapa de Riesgos'!$AA$51="AAeve"),CONCATENATE("R",'Mapa de Riesgos'!$A$51),"")</f>
        <v/>
      </c>
      <c r="M45" s="126" t="str">
        <f ca="1">+IF(AND('Mapa de Riesgos'!$Y$64="Muy Baja",'Mapa de Riesgos'!$AA$64="AAeve"),CONCATENATE("R",'Mapa de Riesgos'!$A$64),"")</f>
        <v/>
      </c>
      <c r="N45" s="126" t="str">
        <f>+IF(AND('Mapa de Riesgos'!$Y$94="Muy Baja",'Mapa de Riesgos'!$AA$94="AAeve"),CONCATENATE("R",'Mapa de Riesgos'!$A$94),"")</f>
        <v/>
      </c>
      <c r="O45" s="125" t="str">
        <f ca="1">+IF(AND('Mapa de Riesgos'!$Y$26="Muy Baja",'Mapa de Riesgos'!$AA$26="Menor"),CONCATENATE("R",'Mapa de Riesgos'!$A$26),"")</f>
        <v/>
      </c>
      <c r="P45" s="126" t="str">
        <f ca="1">+IF(AND('Mapa de Riesgos'!$Y$37="Muy Baja",'Mapa de Riesgos'!$AA$37="Menor"),CONCATENATE("R",'Mapa de Riesgos'!$A$37),"")</f>
        <v/>
      </c>
      <c r="Q45" s="126" t="str">
        <f ca="1">+IF(AND('Mapa de Riesgos'!$Y$51="Muy Baja",'Mapa de Riesgos'!$AA$51="Menor"),CONCATENATE("R",'Mapa de Riesgos'!$A$51),"")</f>
        <v/>
      </c>
      <c r="R45" s="126" t="str">
        <f ca="1">+IF(AND('Mapa de Riesgos'!$Y$64="Muy Baja",'Mapa de Riesgos'!$AA$64="Menor"),CONCATENATE("R",'Mapa de Riesgos'!$A$64),"")</f>
        <v/>
      </c>
      <c r="S45" s="126" t="str">
        <f>+IF(AND('Mapa de Riesgos'!$Y$94="Muy Baja",'Mapa de Riesgos'!$AA$94="Menor"),CONCATENATE("R",'Mapa de Riesgos'!$A$94),"")</f>
        <v/>
      </c>
      <c r="T45" s="119" t="str">
        <f ca="1">+IF(AND('Mapa de Riesgos'!$Y$26="Muy Baja",'Mapa de Riesgos'!$AA$26="Moderado"),CONCATENATE("R",'Mapa de Riesgos'!$A$26),"")</f>
        <v/>
      </c>
      <c r="U45" s="120" t="str">
        <f ca="1">+IF(AND('Mapa de Riesgos'!$Y$37="Muy Baja",'Mapa de Riesgos'!$AA$37="Moderado"),CONCATENATE("R",'Mapa de Riesgos'!$A$37),"")</f>
        <v/>
      </c>
      <c r="V45" s="120" t="str">
        <f ca="1">+IF(AND('Mapa de Riesgos'!$Y$51="Muy Baja",'Mapa de Riesgos'!$AA$51="Moderado"),CONCATENATE("R",'Mapa de Riesgos'!$A$51),"")</f>
        <v/>
      </c>
      <c r="W45" s="120" t="str">
        <f ca="1">+IF(AND('Mapa de Riesgos'!$Y$64="Muy Baja",'Mapa de Riesgos'!$AA$64="Moderado"),CONCATENATE("R",'Mapa de Riesgos'!$A$64),"")</f>
        <v/>
      </c>
      <c r="X45" s="121" t="str">
        <f>+IF(AND('Mapa de Riesgos'!$Y$94="Muy Baja",'Mapa de Riesgos'!$AA$94="Moderado"),CONCATENATE("R",'Mapa de Riesgos'!$A$94),"")</f>
        <v/>
      </c>
      <c r="Y45" s="112" t="str">
        <f ca="1">+IF(AND('Mapa de Riesgos'!$Y$26="Muy Baja",'Mapa de Riesgos'!$AA$26="Mayor"),CONCATENATE("R",'Mapa de Riesgos'!$A$26),"")</f>
        <v/>
      </c>
      <c r="Z45" s="112" t="str">
        <f ca="1">+IF(AND('Mapa de Riesgos'!$Y$37="Muy Baja",'Mapa de Riesgos'!$AA$37="Mayor"),CONCATENATE("R",'Mapa de Riesgos'!$A$37),"")</f>
        <v/>
      </c>
      <c r="AA45" s="112" t="str">
        <f ca="1">+IF(AND('Mapa de Riesgos'!$Y$51="Muy Baja",'Mapa de Riesgos'!$AA$51="Mayor"),CONCATENATE("R",'Mapa de Riesgos'!$A$51),"")</f>
        <v/>
      </c>
      <c r="AB45" s="112" t="str">
        <f ca="1">+IF(AND('Mapa de Riesgos'!$Y$64="Muy Baja",'Mapa de Riesgos'!$AA$64="Mayor"),CONCATENATE("R",'Mapa de Riesgos'!$A$64),"")</f>
        <v/>
      </c>
      <c r="AC45" s="113" t="str">
        <f>+IF(AND('Mapa de Riesgos'!$Y$94="Muy Baja",'Mapa de Riesgos'!$AA$94="Mayor"),CONCATENATE("R",'Mapa de Riesgos'!$A$94),"")</f>
        <v/>
      </c>
      <c r="AD45" s="130" t="str">
        <f ca="1">+IF(AND('Mapa de Riesgos'!$Y$26="Muy Baja",'Mapa de Riesgos'!$AA$26="Catastrófico"),CONCATENATE("R",'Mapa de Riesgos'!$A$26),"")</f>
        <v/>
      </c>
      <c r="AE45" s="130" t="str">
        <f ca="1">+IF(AND('Mapa de Riesgos'!$Y$37="Muy Baja",'Mapa de Riesgos'!$AA$37="Catastrófico"),CONCATENATE("R",'Mapa de Riesgos'!$A$37),"")</f>
        <v/>
      </c>
      <c r="AF45" s="130" t="str">
        <f ca="1">+IF(AND('Mapa de Riesgos'!$Y$51="Muy Baja",'Mapa de Riesgos'!$AA$51="Catastrófico"),CONCATENATE("R",'Mapa de Riesgos'!$A$51),"")</f>
        <v/>
      </c>
      <c r="AG45" s="130" t="str">
        <f ca="1">+IF(AND('Mapa de Riesgos'!$Y$64="Muy Baja",'Mapa de Riesgos'!$AA$64="Catastrófico"),CONCATENATE("R",'Mapa de Riesgos'!$A$64),"")</f>
        <v/>
      </c>
      <c r="AH45" s="131" t="str">
        <f>+IF(AND('Mapa de Riesgos'!$Y$94="Muy Baja",'Mapa de Riesgos'!$AA$94="Catastrófico"),CONCATENATE("R",'Mapa de Riesgos'!$A$94),"")</f>
        <v/>
      </c>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row>
    <row r="46" spans="1:75" ht="153" customHeight="1" thickBot="1" x14ac:dyDescent="0.3">
      <c r="A46" s="38"/>
      <c r="B46" s="38"/>
      <c r="C46" s="38"/>
      <c r="D46" s="38"/>
      <c r="E46" s="38"/>
      <c r="F46" s="38"/>
      <c r="G46" s="38"/>
      <c r="H46" s="38"/>
      <c r="I46" s="38"/>
      <c r="J46" s="289" t="s">
        <v>90</v>
      </c>
      <c r="K46" s="290"/>
      <c r="L46" s="290"/>
      <c r="M46" s="290"/>
      <c r="N46" s="291"/>
      <c r="O46" s="289" t="s">
        <v>91</v>
      </c>
      <c r="P46" s="290"/>
      <c r="Q46" s="290"/>
      <c r="R46" s="290"/>
      <c r="S46" s="291"/>
      <c r="T46" s="289" t="s">
        <v>92</v>
      </c>
      <c r="U46" s="290"/>
      <c r="V46" s="290"/>
      <c r="W46" s="290"/>
      <c r="X46" s="291"/>
      <c r="Y46" s="289" t="s">
        <v>93</v>
      </c>
      <c r="Z46" s="290"/>
      <c r="AA46" s="290"/>
      <c r="AB46" s="290"/>
      <c r="AC46" s="291"/>
      <c r="AD46" s="289" t="s">
        <v>94</v>
      </c>
      <c r="AE46" s="290"/>
      <c r="AF46" s="290"/>
      <c r="AG46" s="290"/>
      <c r="AH46" s="291"/>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row>
    <row r="47" spans="1:75" x14ac:dyDescent="0.25">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row>
    <row r="48" spans="1:75" x14ac:dyDescent="0.2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row>
    <row r="49" spans="1:75" x14ac:dyDescent="0.2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row>
    <row r="50" spans="1:75" x14ac:dyDescent="0.25">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row>
    <row r="51" spans="1:75" x14ac:dyDescent="0.2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row>
    <row r="52" spans="1:75" x14ac:dyDescent="0.2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row>
    <row r="53" spans="1:75" x14ac:dyDescent="0.2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row>
    <row r="54" spans="1:75" x14ac:dyDescent="0.25">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row>
    <row r="55" spans="1:75" x14ac:dyDescent="0.25">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row>
    <row r="56" spans="1:75" x14ac:dyDescent="0.2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row>
    <row r="57" spans="1:75" x14ac:dyDescent="0.2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row>
    <row r="58" spans="1:75" x14ac:dyDescent="0.25">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row>
    <row r="59" spans="1:75" x14ac:dyDescent="0.25">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row>
    <row r="60" spans="1:75" x14ac:dyDescent="0.2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row>
    <row r="61" spans="1:75" x14ac:dyDescent="0.25">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row>
    <row r="62" spans="1:75" x14ac:dyDescent="0.25">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row>
    <row r="63" spans="1:75" x14ac:dyDescent="0.25">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row>
    <row r="64" spans="1:75" x14ac:dyDescent="0.25">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row>
    <row r="65" spans="1:75" x14ac:dyDescent="0.25">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row>
    <row r="66" spans="1:75" x14ac:dyDescent="0.25">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row>
    <row r="67" spans="1:75" x14ac:dyDescent="0.25">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row>
    <row r="68" spans="1:75" x14ac:dyDescent="0.25">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row>
    <row r="69" spans="1:75" x14ac:dyDescent="0.25">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row>
    <row r="70" spans="1:75" x14ac:dyDescent="0.25">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row>
    <row r="71" spans="1:75" x14ac:dyDescent="0.25">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row>
    <row r="72" spans="1:75" x14ac:dyDescent="0.25">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row>
    <row r="73" spans="1:75" x14ac:dyDescent="0.25">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row>
    <row r="74" spans="1:75" x14ac:dyDescent="0.25">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row>
    <row r="75" spans="1:75" x14ac:dyDescent="0.25">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row>
    <row r="76" spans="1:75" x14ac:dyDescent="0.25">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row>
    <row r="77" spans="1:75" x14ac:dyDescent="0.25">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row>
    <row r="78" spans="1:75" x14ac:dyDescent="0.25">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row>
    <row r="79" spans="1:75" x14ac:dyDescent="0.25">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row>
    <row r="80" spans="1:75" x14ac:dyDescent="0.25">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row>
    <row r="81" spans="1:58" x14ac:dyDescent="0.25">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row>
    <row r="82" spans="1:58" x14ac:dyDescent="0.25">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row>
    <row r="83" spans="1:58" x14ac:dyDescent="0.25">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row>
    <row r="84" spans="1:58" x14ac:dyDescent="0.25">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row>
    <row r="85" spans="1:58" x14ac:dyDescent="0.25">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row>
    <row r="86" spans="1:58" x14ac:dyDescent="0.25">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row>
    <row r="87" spans="1:58" x14ac:dyDescent="0.25">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row>
    <row r="88" spans="1:58" x14ac:dyDescent="0.25">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row>
    <row r="89" spans="1:58" x14ac:dyDescent="0.25">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row>
    <row r="90" spans="1:58" x14ac:dyDescent="0.25">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row>
    <row r="91" spans="1:58" x14ac:dyDescent="0.25">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row>
    <row r="92" spans="1:58" x14ac:dyDescent="0.25">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row>
    <row r="93" spans="1:58" x14ac:dyDescent="0.25">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row>
    <row r="94" spans="1:58" x14ac:dyDescent="0.25">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row>
    <row r="95" spans="1:58" x14ac:dyDescent="0.25">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row>
    <row r="96" spans="1:58" x14ac:dyDescent="0.25">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row>
    <row r="97" spans="1:58" x14ac:dyDescent="0.25">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row>
    <row r="98" spans="1:58" x14ac:dyDescent="0.25">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row>
    <row r="99" spans="1:58" x14ac:dyDescent="0.25">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row>
    <row r="100" spans="1:58" x14ac:dyDescent="0.25">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row>
    <row r="101" spans="1:58" x14ac:dyDescent="0.25">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row>
    <row r="102" spans="1:58" x14ac:dyDescent="0.25">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row>
    <row r="103" spans="1:58" x14ac:dyDescent="0.25">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row>
    <row r="104" spans="1:58" x14ac:dyDescent="0.25">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row>
    <row r="105" spans="1:58" x14ac:dyDescent="0.25">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row>
    <row r="106" spans="1:58" x14ac:dyDescent="0.25">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row>
    <row r="107" spans="1:58" x14ac:dyDescent="0.25">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row>
    <row r="108" spans="1:58" x14ac:dyDescent="0.25">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row>
    <row r="109" spans="1:58" x14ac:dyDescent="0.25">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row>
    <row r="110" spans="1:58" x14ac:dyDescent="0.25">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row>
    <row r="111" spans="1:58" x14ac:dyDescent="0.25">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row>
    <row r="112" spans="1:58" x14ac:dyDescent="0.25">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row>
    <row r="113" spans="2:58" x14ac:dyDescent="0.25">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row>
    <row r="114" spans="2:58" x14ac:dyDescent="0.25">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row>
    <row r="115" spans="2:58" x14ac:dyDescent="0.25">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row>
    <row r="116" spans="2:58" x14ac:dyDescent="0.25">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row>
    <row r="117" spans="2:58" x14ac:dyDescent="0.25">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row>
    <row r="118" spans="2:58" x14ac:dyDescent="0.25">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row>
    <row r="119" spans="2:58" x14ac:dyDescent="0.25">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row>
    <row r="120" spans="2:58" x14ac:dyDescent="0.25">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row>
    <row r="121" spans="2:58" x14ac:dyDescent="0.25">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row>
    <row r="122" spans="2:58" x14ac:dyDescent="0.25">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row>
    <row r="123" spans="2:58" x14ac:dyDescent="0.25">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row>
    <row r="124" spans="2:58" x14ac:dyDescent="0.25">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row>
    <row r="125" spans="2:58" x14ac:dyDescent="0.25">
      <c r="B125" s="38"/>
      <c r="C125" s="38"/>
      <c r="D125" s="38"/>
      <c r="E125" s="38"/>
      <c r="F125" s="38"/>
      <c r="G125" s="38"/>
      <c r="H125" s="38"/>
      <c r="I125" s="38"/>
    </row>
    <row r="126" spans="2:58" x14ac:dyDescent="0.25">
      <c r="B126" s="38"/>
      <c r="C126" s="38"/>
      <c r="D126" s="38"/>
      <c r="E126" s="38"/>
      <c r="F126" s="38"/>
      <c r="G126" s="38"/>
      <c r="H126" s="38"/>
      <c r="I126" s="38"/>
    </row>
    <row r="127" spans="2:58" x14ac:dyDescent="0.25">
      <c r="B127" s="38"/>
      <c r="C127" s="38"/>
      <c r="D127" s="38"/>
      <c r="E127" s="38"/>
      <c r="F127" s="38"/>
      <c r="G127" s="38"/>
      <c r="H127" s="38"/>
      <c r="I127" s="38"/>
    </row>
    <row r="128" spans="2:58" x14ac:dyDescent="0.25">
      <c r="B128" s="38"/>
      <c r="C128" s="38"/>
      <c r="D128" s="38"/>
      <c r="E128" s="38"/>
      <c r="F128" s="38"/>
      <c r="G128" s="38"/>
      <c r="H128" s="38"/>
      <c r="I128" s="38"/>
    </row>
  </sheetData>
  <mergeCells count="17">
    <mergeCell ref="J46:N46"/>
    <mergeCell ref="O46:S46"/>
    <mergeCell ref="T46:X46"/>
    <mergeCell ref="Y46:AC46"/>
    <mergeCell ref="AD46:AH46"/>
    <mergeCell ref="B2:I4"/>
    <mergeCell ref="J2:AH4"/>
    <mergeCell ref="B6:D45"/>
    <mergeCell ref="E6:I13"/>
    <mergeCell ref="AJ6:AO13"/>
    <mergeCell ref="E14:I21"/>
    <mergeCell ref="AJ14:AO21"/>
    <mergeCell ref="E22:I29"/>
    <mergeCell ref="AJ22:AO29"/>
    <mergeCell ref="E30:I37"/>
    <mergeCell ref="AJ30:AO37"/>
    <mergeCell ref="E38:I4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D19" sqref="D19"/>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38"/>
      <c r="B1" s="338" t="s">
        <v>95</v>
      </c>
      <c r="C1" s="338"/>
      <c r="D1" s="338"/>
      <c r="E1" s="38"/>
      <c r="F1" s="38"/>
      <c r="G1" s="38"/>
      <c r="H1" s="38"/>
      <c r="I1" s="38"/>
      <c r="J1" s="38"/>
      <c r="K1" s="38"/>
      <c r="L1" s="38"/>
      <c r="M1" s="38"/>
      <c r="N1" s="38"/>
      <c r="O1" s="38"/>
      <c r="P1" s="38"/>
      <c r="Q1" s="38"/>
      <c r="R1" s="38"/>
      <c r="S1" s="38"/>
      <c r="T1" s="38"/>
      <c r="U1" s="38"/>
      <c r="V1" s="38"/>
      <c r="W1" s="38"/>
      <c r="X1" s="38"/>
      <c r="Y1" s="38"/>
      <c r="Z1" s="38"/>
      <c r="AA1" s="38"/>
      <c r="AB1" s="38"/>
      <c r="AC1" s="38"/>
      <c r="AD1" s="38"/>
      <c r="AE1" s="38"/>
    </row>
    <row r="2" spans="1:37"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row>
    <row r="3" spans="1:37" ht="25.5" x14ac:dyDescent="0.25">
      <c r="A3" s="38"/>
      <c r="B3" s="8"/>
      <c r="C3" s="9" t="s">
        <v>96</v>
      </c>
      <c r="D3" s="9" t="s">
        <v>80</v>
      </c>
      <c r="E3" s="38"/>
      <c r="F3" s="38"/>
      <c r="G3" s="38"/>
      <c r="H3" s="38"/>
      <c r="I3" s="38"/>
      <c r="J3" s="38"/>
      <c r="K3" s="38"/>
      <c r="L3" s="38"/>
      <c r="M3" s="38"/>
      <c r="N3" s="38"/>
      <c r="O3" s="38"/>
      <c r="P3" s="38"/>
      <c r="Q3" s="38"/>
      <c r="R3" s="38"/>
      <c r="S3" s="38"/>
      <c r="T3" s="38"/>
      <c r="U3" s="38"/>
      <c r="V3" s="38"/>
      <c r="W3" s="38"/>
      <c r="X3" s="38"/>
      <c r="Y3" s="38"/>
      <c r="Z3" s="38"/>
      <c r="AA3" s="38"/>
      <c r="AB3" s="38"/>
      <c r="AC3" s="38"/>
      <c r="AD3" s="38"/>
      <c r="AE3" s="38"/>
    </row>
    <row r="4" spans="1:37" ht="51" x14ac:dyDescent="0.25">
      <c r="A4" s="38"/>
      <c r="B4" s="10" t="s">
        <v>97</v>
      </c>
      <c r="C4" s="11" t="s">
        <v>98</v>
      </c>
      <c r="D4" s="12">
        <v>0.2</v>
      </c>
      <c r="E4" s="38"/>
      <c r="F4" s="38"/>
      <c r="G4" s="38"/>
      <c r="H4" s="38"/>
      <c r="I4" s="38"/>
      <c r="J4" s="38"/>
      <c r="K4" s="38"/>
      <c r="L4" s="38"/>
      <c r="M4" s="38"/>
      <c r="N4" s="38"/>
      <c r="O4" s="38"/>
      <c r="P4" s="38"/>
      <c r="Q4" s="38"/>
      <c r="R4" s="38"/>
      <c r="S4" s="38"/>
      <c r="T4" s="38"/>
      <c r="U4" s="38"/>
      <c r="V4" s="38"/>
      <c r="W4" s="38"/>
      <c r="X4" s="38"/>
      <c r="Y4" s="38"/>
      <c r="Z4" s="38"/>
      <c r="AA4" s="38"/>
      <c r="AB4" s="38"/>
      <c r="AC4" s="38"/>
      <c r="AD4" s="38"/>
      <c r="AE4" s="38"/>
    </row>
    <row r="5" spans="1:37" ht="51" x14ac:dyDescent="0.25">
      <c r="A5" s="38"/>
      <c r="B5" s="13" t="s">
        <v>99</v>
      </c>
      <c r="C5" s="14" t="s">
        <v>100</v>
      </c>
      <c r="D5" s="15">
        <v>0.4</v>
      </c>
      <c r="E5" s="38"/>
      <c r="F5" s="38"/>
      <c r="G5" s="38"/>
      <c r="H5" s="38"/>
      <c r="I5" s="38"/>
      <c r="J5" s="38"/>
      <c r="K5" s="38"/>
      <c r="L5" s="38"/>
      <c r="M5" s="38"/>
      <c r="N5" s="38"/>
      <c r="O5" s="38"/>
      <c r="P5" s="38"/>
      <c r="Q5" s="38"/>
      <c r="R5" s="38"/>
      <c r="S5" s="38"/>
      <c r="T5" s="38"/>
      <c r="U5" s="38"/>
      <c r="V5" s="38"/>
      <c r="W5" s="38"/>
      <c r="X5" s="38"/>
      <c r="Y5" s="38"/>
      <c r="Z5" s="38"/>
      <c r="AA5" s="38"/>
      <c r="AB5" s="38"/>
      <c r="AC5" s="38"/>
      <c r="AD5" s="38"/>
      <c r="AE5" s="38"/>
    </row>
    <row r="6" spans="1:37" ht="51" x14ac:dyDescent="0.25">
      <c r="A6" s="38"/>
      <c r="B6" s="16" t="s">
        <v>101</v>
      </c>
      <c r="C6" s="14" t="s">
        <v>102</v>
      </c>
      <c r="D6" s="15">
        <v>0.6</v>
      </c>
      <c r="E6" s="38"/>
      <c r="F6" s="38"/>
      <c r="G6" s="38"/>
      <c r="H6" s="38"/>
      <c r="I6" s="38"/>
      <c r="J6" s="38"/>
      <c r="K6" s="38"/>
      <c r="L6" s="38"/>
      <c r="M6" s="38"/>
      <c r="N6" s="38"/>
      <c r="O6" s="38"/>
      <c r="P6" s="38"/>
      <c r="Q6" s="38"/>
      <c r="R6" s="38"/>
      <c r="S6" s="38"/>
      <c r="T6" s="38"/>
      <c r="U6" s="38"/>
      <c r="V6" s="38"/>
      <c r="W6" s="38"/>
      <c r="X6" s="38"/>
      <c r="Y6" s="38"/>
      <c r="Z6" s="38"/>
      <c r="AA6" s="38"/>
      <c r="AB6" s="38"/>
      <c r="AC6" s="38"/>
      <c r="AD6" s="38"/>
      <c r="AE6" s="38"/>
    </row>
    <row r="7" spans="1:37" ht="76.5" x14ac:dyDescent="0.25">
      <c r="A7" s="38"/>
      <c r="B7" s="17" t="s">
        <v>103</v>
      </c>
      <c r="C7" s="14" t="s">
        <v>104</v>
      </c>
      <c r="D7" s="15">
        <v>0.8</v>
      </c>
      <c r="E7" s="38"/>
      <c r="F7" s="38"/>
      <c r="G7" s="38"/>
      <c r="H7" s="38"/>
      <c r="I7" s="38"/>
      <c r="J7" s="38"/>
      <c r="K7" s="38"/>
      <c r="L7" s="38"/>
      <c r="M7" s="38"/>
      <c r="N7" s="38"/>
      <c r="O7" s="38"/>
      <c r="P7" s="38"/>
      <c r="Q7" s="38"/>
      <c r="R7" s="38"/>
      <c r="S7" s="38"/>
      <c r="T7" s="38"/>
      <c r="U7" s="38"/>
      <c r="V7" s="38"/>
      <c r="W7" s="38"/>
      <c r="X7" s="38"/>
      <c r="Y7" s="38"/>
      <c r="Z7" s="38"/>
      <c r="AA7" s="38"/>
      <c r="AB7" s="38"/>
      <c r="AC7" s="38"/>
      <c r="AD7" s="38"/>
      <c r="AE7" s="38"/>
    </row>
    <row r="8" spans="1:37" ht="51" x14ac:dyDescent="0.25">
      <c r="A8" s="38"/>
      <c r="B8" s="18" t="s">
        <v>105</v>
      </c>
      <c r="C8" s="14" t="s">
        <v>106</v>
      </c>
      <c r="D8" s="15">
        <v>1</v>
      </c>
      <c r="E8" s="38"/>
      <c r="F8" s="38"/>
      <c r="G8" s="38"/>
      <c r="H8" s="38"/>
      <c r="I8" s="38"/>
      <c r="J8" s="38"/>
      <c r="K8" s="38"/>
      <c r="L8" s="38"/>
      <c r="M8" s="38"/>
      <c r="N8" s="38"/>
      <c r="O8" s="38"/>
      <c r="P8" s="38"/>
      <c r="Q8" s="38"/>
      <c r="R8" s="38"/>
      <c r="S8" s="38"/>
      <c r="T8" s="38"/>
      <c r="U8" s="38"/>
      <c r="V8" s="38"/>
      <c r="W8" s="38"/>
      <c r="X8" s="38"/>
      <c r="Y8" s="38"/>
      <c r="Z8" s="38"/>
      <c r="AA8" s="38"/>
      <c r="AB8" s="38"/>
      <c r="AC8" s="38"/>
      <c r="AD8" s="38"/>
      <c r="AE8" s="38"/>
    </row>
    <row r="9" spans="1:37" x14ac:dyDescent="0.25">
      <c r="A9" s="38"/>
      <c r="B9" s="58"/>
      <c r="C9" s="58"/>
      <c r="D9" s="5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row>
    <row r="10" spans="1:37" ht="16.5" x14ac:dyDescent="0.25">
      <c r="A10" s="38"/>
      <c r="B10" s="59"/>
      <c r="C10" s="58"/>
      <c r="D10" s="5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row>
    <row r="11" spans="1:37" x14ac:dyDescent="0.25">
      <c r="A11" s="38"/>
      <c r="B11" s="58"/>
      <c r="C11" s="58"/>
      <c r="D11" s="5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row>
    <row r="12" spans="1:37" x14ac:dyDescent="0.25">
      <c r="A12" s="38"/>
      <c r="B12" s="58"/>
      <c r="C12" s="58"/>
      <c r="D12" s="5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row>
    <row r="13" spans="1:37" x14ac:dyDescent="0.25">
      <c r="A13" s="38"/>
      <c r="B13" s="58"/>
      <c r="C13" s="58"/>
      <c r="D13" s="5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row>
    <row r="14" spans="1:37" x14ac:dyDescent="0.25">
      <c r="A14" s="38"/>
      <c r="B14" s="58"/>
      <c r="C14" s="58"/>
      <c r="D14" s="5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row>
    <row r="15" spans="1:37" x14ac:dyDescent="0.25">
      <c r="A15" s="38"/>
      <c r="B15" s="58"/>
      <c r="C15" s="58"/>
      <c r="D15" s="5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row>
    <row r="16" spans="1:37" x14ac:dyDescent="0.25">
      <c r="A16" s="38"/>
      <c r="B16" s="58"/>
      <c r="C16" s="58"/>
      <c r="D16" s="5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row>
    <row r="17" spans="1:37" x14ac:dyDescent="0.25">
      <c r="A17" s="38"/>
      <c r="B17" s="58"/>
      <c r="C17" s="58"/>
      <c r="D17" s="5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row>
    <row r="18" spans="1:37" x14ac:dyDescent="0.25">
      <c r="A18" s="38"/>
      <c r="B18" s="58"/>
      <c r="C18" s="58"/>
      <c r="D18" s="5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row>
    <row r="19" spans="1:37" x14ac:dyDescent="0.25">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row>
    <row r="20" spans="1:37" x14ac:dyDescent="0.25">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row>
    <row r="21" spans="1:37" x14ac:dyDescent="0.25">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row>
    <row r="22" spans="1:37" x14ac:dyDescent="0.25">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row>
    <row r="23" spans="1:37" x14ac:dyDescent="0.25">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x14ac:dyDescent="0.25">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x14ac:dyDescent="0.25">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x14ac:dyDescent="0.25">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x14ac:dyDescent="0.25">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x14ac:dyDescent="0.25">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x14ac:dyDescent="0.25">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x14ac:dyDescent="0.25">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x14ac:dyDescent="0.25">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x14ac:dyDescent="0.25">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1" x14ac:dyDescent="0.25">
      <c r="A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row>
    <row r="34" spans="1:31" x14ac:dyDescent="0.25">
      <c r="A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row>
    <row r="35" spans="1:31" x14ac:dyDescent="0.25">
      <c r="A35" s="38"/>
    </row>
    <row r="36" spans="1:31" x14ac:dyDescent="0.25">
      <c r="A36" s="38"/>
    </row>
    <row r="37" spans="1:31" x14ac:dyDescent="0.25">
      <c r="A37" s="38"/>
    </row>
    <row r="38" spans="1:31" x14ac:dyDescent="0.25">
      <c r="A38" s="38"/>
    </row>
    <row r="39" spans="1:31" x14ac:dyDescent="0.25">
      <c r="A39" s="38"/>
    </row>
    <row r="40" spans="1:31" x14ac:dyDescent="0.25">
      <c r="A40" s="38"/>
    </row>
    <row r="41" spans="1:31" x14ac:dyDescent="0.25">
      <c r="A41" s="38"/>
    </row>
    <row r="42" spans="1:31" x14ac:dyDescent="0.25">
      <c r="A42" s="38"/>
    </row>
    <row r="43" spans="1:31" x14ac:dyDescent="0.25">
      <c r="A43" s="38"/>
    </row>
    <row r="44" spans="1:31" x14ac:dyDescent="0.25">
      <c r="A44" s="38"/>
    </row>
    <row r="45" spans="1:31" x14ac:dyDescent="0.25">
      <c r="A45" s="38"/>
    </row>
    <row r="46" spans="1:31" x14ac:dyDescent="0.25">
      <c r="A46" s="38"/>
    </row>
    <row r="47" spans="1:31" x14ac:dyDescent="0.25">
      <c r="A47" s="38"/>
    </row>
    <row r="48" spans="1:31" x14ac:dyDescent="0.25">
      <c r="A48" s="38"/>
    </row>
    <row r="49" spans="1:1" x14ac:dyDescent="0.25">
      <c r="A49" s="38"/>
    </row>
    <row r="50" spans="1:1" x14ac:dyDescent="0.25">
      <c r="A50" s="38"/>
    </row>
    <row r="51" spans="1:1" x14ac:dyDescent="0.25">
      <c r="A51" s="38"/>
    </row>
    <row r="52" spans="1:1" x14ac:dyDescent="0.25">
      <c r="A52" s="38"/>
    </row>
    <row r="53" spans="1:1" x14ac:dyDescent="0.25">
      <c r="A53" s="38"/>
    </row>
    <row r="54" spans="1:1" x14ac:dyDescent="0.25">
      <c r="A54" s="38"/>
    </row>
    <row r="55" spans="1:1" x14ac:dyDescent="0.25">
      <c r="A55" s="3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U232"/>
  <sheetViews>
    <sheetView zoomScale="60" zoomScaleNormal="60" workbookViewId="0">
      <selection activeCell="C5" sqref="C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38"/>
      <c r="B1" s="339" t="s">
        <v>107</v>
      </c>
      <c r="C1" s="339"/>
      <c r="D1" s="339"/>
      <c r="E1" s="38"/>
      <c r="F1" s="38"/>
      <c r="G1" s="38"/>
      <c r="H1" s="38"/>
      <c r="I1" s="38"/>
      <c r="J1" s="38"/>
      <c r="K1" s="38"/>
      <c r="L1" s="38"/>
      <c r="M1" s="38"/>
      <c r="N1" s="38"/>
      <c r="O1" s="38"/>
      <c r="P1" s="38"/>
      <c r="Q1" s="38"/>
      <c r="R1" s="38"/>
      <c r="S1" s="38"/>
      <c r="T1" s="38"/>
      <c r="U1" s="38"/>
    </row>
    <row r="2" spans="1:21" x14ac:dyDescent="0.25">
      <c r="A2" s="38"/>
      <c r="B2" s="38"/>
      <c r="C2" s="38"/>
      <c r="D2" s="38"/>
      <c r="E2" s="38"/>
      <c r="F2" s="38"/>
      <c r="G2" s="38"/>
      <c r="H2" s="38"/>
      <c r="I2" s="38"/>
      <c r="J2" s="38"/>
      <c r="K2" s="38"/>
      <c r="L2" s="38"/>
      <c r="M2" s="38"/>
      <c r="N2" s="38"/>
      <c r="O2" s="38"/>
      <c r="P2" s="38"/>
      <c r="Q2" s="38"/>
      <c r="R2" s="38"/>
      <c r="S2" s="38"/>
      <c r="T2" s="38"/>
      <c r="U2" s="38"/>
    </row>
    <row r="3" spans="1:21" ht="30" x14ac:dyDescent="0.25">
      <c r="A3" s="38"/>
      <c r="B3" s="55"/>
      <c r="C3" s="28" t="s">
        <v>108</v>
      </c>
      <c r="D3" s="28" t="s">
        <v>109</v>
      </c>
      <c r="E3" s="38"/>
      <c r="F3" s="38"/>
      <c r="G3" s="38"/>
      <c r="H3" s="38"/>
      <c r="I3" s="38"/>
      <c r="J3" s="38"/>
      <c r="K3" s="38"/>
      <c r="L3" s="38"/>
      <c r="M3" s="38"/>
      <c r="N3" s="38"/>
      <c r="O3" s="38"/>
      <c r="P3" s="38"/>
      <c r="Q3" s="38"/>
      <c r="R3" s="38"/>
      <c r="S3" s="38"/>
      <c r="T3" s="38"/>
      <c r="U3" s="38"/>
    </row>
    <row r="4" spans="1:21" ht="33.75" x14ac:dyDescent="0.25">
      <c r="A4" s="54" t="s">
        <v>110</v>
      </c>
      <c r="B4" s="31" t="s">
        <v>111</v>
      </c>
      <c r="C4" s="36" t="s">
        <v>112</v>
      </c>
      <c r="D4" s="29" t="s">
        <v>113</v>
      </c>
      <c r="E4" s="38"/>
      <c r="F4" s="38"/>
      <c r="G4" s="38"/>
      <c r="H4" s="38"/>
      <c r="I4" s="38"/>
      <c r="J4" s="38"/>
      <c r="K4" s="38"/>
      <c r="L4" s="38"/>
      <c r="M4" s="38"/>
      <c r="N4" s="38"/>
      <c r="O4" s="38"/>
      <c r="P4" s="38"/>
      <c r="Q4" s="38"/>
      <c r="R4" s="38"/>
      <c r="S4" s="38"/>
      <c r="T4" s="38"/>
      <c r="U4" s="38"/>
    </row>
    <row r="5" spans="1:21" ht="67.5" x14ac:dyDescent="0.25">
      <c r="A5" s="54" t="s">
        <v>114</v>
      </c>
      <c r="B5" s="32" t="s">
        <v>115</v>
      </c>
      <c r="C5" s="37" t="s">
        <v>116</v>
      </c>
      <c r="D5" s="30" t="s">
        <v>117</v>
      </c>
      <c r="E5" s="38"/>
      <c r="F5" s="38"/>
      <c r="G5" s="38"/>
      <c r="H5" s="38"/>
      <c r="I5" s="38"/>
      <c r="J5" s="38"/>
      <c r="K5" s="38"/>
      <c r="L5" s="38"/>
      <c r="M5" s="38"/>
      <c r="N5" s="38"/>
      <c r="O5" s="38"/>
      <c r="P5" s="38"/>
      <c r="Q5" s="38"/>
      <c r="R5" s="38"/>
      <c r="S5" s="38"/>
      <c r="T5" s="38"/>
      <c r="U5" s="38"/>
    </row>
    <row r="6" spans="1:21" ht="67.5" x14ac:dyDescent="0.25">
      <c r="A6" s="54" t="s">
        <v>86</v>
      </c>
      <c r="B6" s="33" t="s">
        <v>118</v>
      </c>
      <c r="C6" s="37" t="s">
        <v>119</v>
      </c>
      <c r="D6" s="30" t="s">
        <v>120</v>
      </c>
      <c r="E6" s="38"/>
      <c r="F6" s="38"/>
      <c r="G6" s="38"/>
      <c r="H6" s="38"/>
      <c r="I6" s="38"/>
      <c r="J6" s="38"/>
      <c r="K6" s="38"/>
      <c r="L6" s="38"/>
      <c r="M6" s="38"/>
      <c r="N6" s="38"/>
      <c r="O6" s="38"/>
      <c r="P6" s="38"/>
      <c r="Q6" s="38"/>
      <c r="R6" s="38"/>
      <c r="S6" s="38"/>
      <c r="T6" s="38"/>
      <c r="U6" s="38"/>
    </row>
    <row r="7" spans="1:21" ht="101.25" x14ac:dyDescent="0.25">
      <c r="A7" s="54" t="s">
        <v>121</v>
      </c>
      <c r="B7" s="34" t="s">
        <v>122</v>
      </c>
      <c r="C7" s="37" t="s">
        <v>123</v>
      </c>
      <c r="D7" s="30" t="s">
        <v>124</v>
      </c>
      <c r="E7" s="38"/>
      <c r="F7" s="38"/>
      <c r="G7" s="38"/>
      <c r="H7" s="38"/>
      <c r="I7" s="38"/>
      <c r="J7" s="38"/>
      <c r="K7" s="38"/>
      <c r="L7" s="38"/>
      <c r="M7" s="38"/>
      <c r="N7" s="38"/>
      <c r="O7" s="38"/>
      <c r="P7" s="38"/>
      <c r="Q7" s="38"/>
      <c r="R7" s="38"/>
      <c r="S7" s="38"/>
      <c r="T7" s="38"/>
      <c r="U7" s="38"/>
    </row>
    <row r="8" spans="1:21" ht="67.5" x14ac:dyDescent="0.25">
      <c r="A8" s="54" t="s">
        <v>125</v>
      </c>
      <c r="B8" s="35" t="s">
        <v>126</v>
      </c>
      <c r="C8" s="37" t="s">
        <v>127</v>
      </c>
      <c r="D8" s="30" t="s">
        <v>128</v>
      </c>
      <c r="E8" s="38"/>
      <c r="F8" s="38"/>
      <c r="G8" s="38"/>
      <c r="H8" s="38"/>
      <c r="I8" s="38"/>
      <c r="J8" s="38"/>
      <c r="K8" s="38"/>
      <c r="L8" s="38"/>
      <c r="M8" s="38"/>
      <c r="N8" s="38"/>
      <c r="O8" s="38"/>
      <c r="P8" s="38"/>
      <c r="Q8" s="38"/>
      <c r="R8" s="38"/>
      <c r="S8" s="38"/>
      <c r="T8" s="38"/>
      <c r="U8" s="38"/>
    </row>
    <row r="9" spans="1:21" ht="20.25" x14ac:dyDescent="0.25">
      <c r="A9" s="54"/>
      <c r="B9" s="54"/>
      <c r="C9" s="56"/>
      <c r="D9" s="56"/>
      <c r="E9" s="38"/>
      <c r="F9" s="38"/>
      <c r="G9" s="38"/>
      <c r="H9" s="38"/>
      <c r="I9" s="38"/>
      <c r="J9" s="38"/>
      <c r="K9" s="38"/>
      <c r="L9" s="38"/>
      <c r="M9" s="38"/>
      <c r="N9" s="38"/>
      <c r="O9" s="38"/>
      <c r="P9" s="38"/>
      <c r="Q9" s="38"/>
      <c r="R9" s="38"/>
      <c r="S9" s="38"/>
      <c r="T9" s="38"/>
      <c r="U9" s="38"/>
    </row>
    <row r="10" spans="1:21" ht="16.5" x14ac:dyDescent="0.25">
      <c r="A10" s="54"/>
      <c r="B10" s="57"/>
      <c r="C10" s="57"/>
      <c r="D10" s="57"/>
      <c r="E10" s="38"/>
      <c r="F10" s="38"/>
      <c r="G10" s="38"/>
      <c r="H10" s="38"/>
      <c r="I10" s="38"/>
      <c r="J10" s="38"/>
      <c r="K10" s="38"/>
      <c r="L10" s="38"/>
      <c r="M10" s="38"/>
      <c r="N10" s="38"/>
      <c r="O10" s="38"/>
      <c r="P10" s="38"/>
      <c r="Q10" s="38"/>
      <c r="R10" s="38"/>
      <c r="S10" s="38"/>
      <c r="T10" s="38"/>
      <c r="U10" s="38"/>
    </row>
    <row r="11" spans="1:21" x14ac:dyDescent="0.25">
      <c r="A11" s="54"/>
      <c r="B11" s="54" t="s">
        <v>129</v>
      </c>
      <c r="C11" s="54" t="s">
        <v>130</v>
      </c>
      <c r="D11" s="54" t="s">
        <v>131</v>
      </c>
      <c r="E11" s="38"/>
      <c r="F11" s="38"/>
      <c r="G11" s="38"/>
      <c r="H11" s="38"/>
      <c r="I11" s="38"/>
      <c r="J11" s="38"/>
      <c r="K11" s="38"/>
      <c r="L11" s="38"/>
      <c r="M11" s="38"/>
      <c r="N11" s="38"/>
      <c r="O11" s="38"/>
      <c r="P11" s="38"/>
      <c r="Q11" s="38"/>
      <c r="R11" s="38"/>
      <c r="S11" s="38"/>
      <c r="T11" s="38"/>
      <c r="U11" s="38"/>
    </row>
    <row r="12" spans="1:21" x14ac:dyDescent="0.25">
      <c r="A12" s="54"/>
      <c r="B12" s="54" t="s">
        <v>132</v>
      </c>
      <c r="C12" s="54" t="s">
        <v>133</v>
      </c>
      <c r="D12" s="54" t="s">
        <v>134</v>
      </c>
      <c r="E12" s="38"/>
      <c r="F12" s="38"/>
      <c r="G12" s="38"/>
      <c r="H12" s="38"/>
      <c r="I12" s="38"/>
      <c r="J12" s="38"/>
      <c r="K12" s="38"/>
      <c r="L12" s="38"/>
      <c r="M12" s="38"/>
      <c r="N12" s="38"/>
      <c r="O12" s="38"/>
      <c r="P12" s="38"/>
      <c r="Q12" s="38"/>
      <c r="R12" s="38"/>
      <c r="S12" s="38"/>
      <c r="T12" s="38"/>
      <c r="U12" s="38"/>
    </row>
    <row r="13" spans="1:21" x14ac:dyDescent="0.25">
      <c r="A13" s="54"/>
      <c r="B13" s="54"/>
      <c r="C13" s="54" t="s">
        <v>135</v>
      </c>
      <c r="D13" s="54" t="s">
        <v>136</v>
      </c>
      <c r="E13" s="38"/>
      <c r="F13" s="38"/>
      <c r="G13" s="38"/>
      <c r="H13" s="38"/>
      <c r="I13" s="38"/>
      <c r="J13" s="38"/>
      <c r="K13" s="38"/>
      <c r="L13" s="38"/>
      <c r="M13" s="38"/>
      <c r="N13" s="38"/>
      <c r="O13" s="38"/>
      <c r="P13" s="38"/>
      <c r="Q13" s="38"/>
      <c r="R13" s="38"/>
      <c r="S13" s="38"/>
      <c r="T13" s="38"/>
      <c r="U13" s="38"/>
    </row>
    <row r="14" spans="1:21" x14ac:dyDescent="0.25">
      <c r="A14" s="54"/>
      <c r="B14" s="54"/>
      <c r="C14" s="54" t="s">
        <v>137</v>
      </c>
      <c r="D14" s="54" t="s">
        <v>138</v>
      </c>
      <c r="E14" s="38"/>
      <c r="F14" s="38"/>
      <c r="G14" s="38"/>
      <c r="H14" s="38"/>
      <c r="I14" s="38"/>
      <c r="J14" s="38"/>
      <c r="K14" s="38"/>
      <c r="L14" s="38"/>
      <c r="M14" s="38"/>
      <c r="N14" s="38"/>
      <c r="O14" s="38"/>
      <c r="P14" s="38"/>
      <c r="Q14" s="38"/>
      <c r="R14" s="38"/>
      <c r="S14" s="38"/>
      <c r="T14" s="38"/>
      <c r="U14" s="38"/>
    </row>
    <row r="15" spans="1:21" x14ac:dyDescent="0.25">
      <c r="A15" s="54"/>
      <c r="B15" s="54"/>
      <c r="C15" s="54" t="s">
        <v>139</v>
      </c>
      <c r="D15" s="54" t="s">
        <v>140</v>
      </c>
      <c r="E15" s="38"/>
      <c r="F15" s="38"/>
      <c r="G15" s="38"/>
      <c r="H15" s="38"/>
      <c r="I15" s="38"/>
      <c r="J15" s="38"/>
      <c r="K15" s="38"/>
      <c r="L15" s="38"/>
      <c r="M15" s="38"/>
      <c r="N15" s="38"/>
      <c r="O15" s="38"/>
      <c r="P15" s="38"/>
      <c r="Q15" s="38"/>
      <c r="R15" s="38"/>
      <c r="S15" s="38"/>
      <c r="T15" s="38"/>
      <c r="U15" s="38"/>
    </row>
    <row r="16" spans="1:21" x14ac:dyDescent="0.25">
      <c r="A16" s="54"/>
      <c r="B16" s="54"/>
      <c r="C16" s="54"/>
      <c r="D16" s="54"/>
      <c r="E16" s="38"/>
      <c r="F16" s="38"/>
      <c r="G16" s="38"/>
      <c r="H16" s="38"/>
      <c r="I16" s="38"/>
      <c r="J16" s="38"/>
      <c r="K16" s="38"/>
      <c r="L16" s="38"/>
      <c r="M16" s="38"/>
      <c r="N16" s="38"/>
      <c r="O16" s="38"/>
    </row>
    <row r="17" spans="1:15" x14ac:dyDescent="0.25">
      <c r="A17" s="54"/>
      <c r="B17" s="54"/>
      <c r="C17" s="54"/>
      <c r="D17" s="54"/>
      <c r="E17" s="38"/>
      <c r="F17" s="38"/>
      <c r="G17" s="38"/>
      <c r="H17" s="38"/>
      <c r="I17" s="38"/>
      <c r="J17" s="38"/>
      <c r="K17" s="38"/>
      <c r="L17" s="38"/>
      <c r="M17" s="38"/>
      <c r="N17" s="38"/>
      <c r="O17" s="38"/>
    </row>
    <row r="18" spans="1:15" x14ac:dyDescent="0.25">
      <c r="A18" s="54"/>
      <c r="B18" s="58"/>
      <c r="C18" s="58"/>
      <c r="D18" s="58"/>
      <c r="E18" s="38"/>
      <c r="F18" s="38"/>
      <c r="G18" s="38"/>
      <c r="H18" s="38"/>
      <c r="I18" s="38"/>
      <c r="J18" s="38"/>
      <c r="K18" s="38"/>
      <c r="L18" s="38"/>
      <c r="M18" s="38"/>
      <c r="N18" s="38"/>
      <c r="O18" s="38"/>
    </row>
    <row r="19" spans="1:15" x14ac:dyDescent="0.25">
      <c r="A19" s="54"/>
      <c r="B19" s="58"/>
      <c r="C19" s="58"/>
      <c r="D19" s="58"/>
      <c r="E19" s="38"/>
      <c r="F19" s="38"/>
      <c r="G19" s="38"/>
      <c r="H19" s="38"/>
      <c r="I19" s="38"/>
      <c r="J19" s="38"/>
      <c r="K19" s="38"/>
      <c r="L19" s="38"/>
      <c r="M19" s="38"/>
      <c r="N19" s="38"/>
      <c r="O19" s="38"/>
    </row>
    <row r="20" spans="1:15" x14ac:dyDescent="0.25">
      <c r="A20" s="54"/>
      <c r="B20" s="58"/>
      <c r="C20" s="58"/>
      <c r="D20" s="58"/>
      <c r="E20" s="38"/>
      <c r="F20" s="38"/>
      <c r="G20" s="38"/>
      <c r="H20" s="38"/>
      <c r="I20" s="38"/>
      <c r="J20" s="38"/>
      <c r="K20" s="38"/>
      <c r="L20" s="38"/>
      <c r="M20" s="38"/>
      <c r="N20" s="38"/>
      <c r="O20" s="38"/>
    </row>
    <row r="21" spans="1:15" x14ac:dyDescent="0.25">
      <c r="A21" s="54"/>
      <c r="B21" s="58"/>
      <c r="C21" s="58"/>
      <c r="D21" s="58"/>
      <c r="E21" s="38"/>
      <c r="F21" s="38"/>
      <c r="G21" s="38"/>
      <c r="H21" s="38"/>
      <c r="I21" s="38"/>
      <c r="J21" s="38"/>
      <c r="K21" s="38"/>
      <c r="L21" s="38"/>
      <c r="M21" s="38"/>
      <c r="N21" s="38"/>
      <c r="O21" s="38"/>
    </row>
    <row r="22" spans="1:15" ht="20.25" x14ac:dyDescent="0.25">
      <c r="A22" s="54"/>
      <c r="B22" s="54"/>
      <c r="C22" s="56"/>
      <c r="D22" s="56"/>
      <c r="E22" s="38"/>
      <c r="F22" s="38"/>
      <c r="G22" s="38"/>
      <c r="H22" s="38"/>
      <c r="I22" s="38"/>
      <c r="J22" s="38"/>
      <c r="K22" s="38"/>
      <c r="L22" s="38"/>
      <c r="M22" s="38"/>
      <c r="N22" s="38"/>
      <c r="O22" s="38"/>
    </row>
    <row r="23" spans="1:15" ht="20.25" x14ac:dyDescent="0.25">
      <c r="A23" s="54"/>
      <c r="B23" s="54"/>
      <c r="C23" s="56"/>
      <c r="D23" s="56"/>
      <c r="E23" s="38"/>
      <c r="F23" s="38"/>
      <c r="G23" s="38"/>
      <c r="H23" s="38"/>
      <c r="I23" s="38"/>
      <c r="J23" s="38"/>
      <c r="K23" s="38"/>
      <c r="L23" s="38"/>
      <c r="M23" s="38"/>
      <c r="N23" s="38"/>
      <c r="O23" s="38"/>
    </row>
    <row r="24" spans="1:15" ht="20.25" x14ac:dyDescent="0.25">
      <c r="A24" s="54"/>
      <c r="B24" s="54"/>
      <c r="C24" s="56"/>
      <c r="D24" s="56"/>
      <c r="E24" s="38"/>
      <c r="F24" s="38"/>
      <c r="G24" s="38"/>
      <c r="H24" s="38"/>
      <c r="I24" s="38"/>
      <c r="J24" s="38"/>
      <c r="K24" s="38"/>
      <c r="L24" s="38"/>
      <c r="M24" s="38"/>
      <c r="N24" s="38"/>
      <c r="O24" s="38"/>
    </row>
    <row r="25" spans="1:15" ht="20.25" x14ac:dyDescent="0.25">
      <c r="A25" s="54"/>
      <c r="B25" s="54"/>
      <c r="C25" s="56"/>
      <c r="D25" s="56"/>
      <c r="E25" s="38"/>
      <c r="F25" s="38"/>
      <c r="G25" s="38"/>
      <c r="H25" s="38"/>
      <c r="I25" s="38"/>
      <c r="J25" s="38"/>
      <c r="K25" s="38"/>
      <c r="L25" s="38"/>
      <c r="M25" s="38"/>
      <c r="N25" s="38"/>
      <c r="O25" s="38"/>
    </row>
    <row r="26" spans="1:15" ht="20.25" x14ac:dyDescent="0.25">
      <c r="A26" s="54"/>
      <c r="B26" s="54"/>
      <c r="C26" s="56"/>
      <c r="D26" s="56"/>
      <c r="E26" s="38"/>
      <c r="F26" s="38"/>
      <c r="G26" s="38"/>
      <c r="H26" s="38"/>
      <c r="I26" s="38"/>
      <c r="J26" s="38"/>
      <c r="K26" s="38"/>
      <c r="L26" s="38"/>
      <c r="M26" s="38"/>
      <c r="N26" s="38"/>
      <c r="O26" s="38"/>
    </row>
    <row r="27" spans="1:15" ht="20.25" x14ac:dyDescent="0.25">
      <c r="A27" s="54"/>
      <c r="B27" s="54"/>
      <c r="C27" s="56"/>
      <c r="D27" s="56"/>
      <c r="E27" s="38"/>
      <c r="F27" s="38"/>
      <c r="G27" s="38"/>
      <c r="H27" s="38"/>
      <c r="I27" s="38"/>
      <c r="J27" s="38"/>
      <c r="K27" s="38"/>
      <c r="L27" s="38"/>
      <c r="M27" s="38"/>
      <c r="N27" s="38"/>
      <c r="O27" s="38"/>
    </row>
    <row r="28" spans="1:15" ht="20.25" x14ac:dyDescent="0.25">
      <c r="A28" s="54"/>
      <c r="B28" s="54"/>
      <c r="C28" s="56"/>
      <c r="D28" s="56"/>
      <c r="E28" s="38"/>
      <c r="F28" s="38"/>
      <c r="G28" s="38"/>
      <c r="H28" s="38"/>
      <c r="I28" s="38"/>
      <c r="J28" s="38"/>
      <c r="K28" s="38"/>
      <c r="L28" s="38"/>
      <c r="M28" s="38"/>
      <c r="N28" s="38"/>
      <c r="O28" s="38"/>
    </row>
    <row r="29" spans="1:15" ht="20.25" x14ac:dyDescent="0.25">
      <c r="A29" s="54"/>
      <c r="B29" s="54"/>
      <c r="C29" s="56"/>
      <c r="D29" s="56"/>
      <c r="E29" s="38"/>
      <c r="F29" s="38"/>
      <c r="G29" s="38"/>
      <c r="H29" s="38"/>
      <c r="I29" s="38"/>
      <c r="J29" s="38"/>
      <c r="K29" s="38"/>
      <c r="L29" s="38"/>
      <c r="M29" s="38"/>
      <c r="N29" s="38"/>
      <c r="O29" s="38"/>
    </row>
    <row r="30" spans="1:15" ht="20.25" x14ac:dyDescent="0.25">
      <c r="A30" s="54"/>
      <c r="B30" s="54"/>
      <c r="C30" s="56"/>
      <c r="D30" s="56"/>
      <c r="E30" s="38"/>
      <c r="F30" s="38"/>
      <c r="G30" s="38"/>
      <c r="H30" s="38"/>
      <c r="I30" s="38"/>
      <c r="J30" s="38"/>
      <c r="K30" s="38"/>
      <c r="L30" s="38"/>
      <c r="M30" s="38"/>
      <c r="N30" s="38"/>
      <c r="O30" s="38"/>
    </row>
    <row r="31" spans="1:15" ht="20.25" x14ac:dyDescent="0.25">
      <c r="A31" s="54"/>
      <c r="B31" s="54"/>
      <c r="C31" s="56"/>
      <c r="D31" s="56"/>
      <c r="E31" s="38"/>
      <c r="F31" s="38"/>
      <c r="G31" s="38"/>
      <c r="H31" s="38"/>
      <c r="I31" s="38"/>
      <c r="J31" s="38"/>
      <c r="K31" s="38"/>
      <c r="L31" s="38"/>
      <c r="M31" s="38"/>
      <c r="N31" s="38"/>
      <c r="O31" s="38"/>
    </row>
    <row r="32" spans="1:15" ht="20.25" x14ac:dyDescent="0.25">
      <c r="A32" s="54"/>
      <c r="B32" s="54"/>
      <c r="C32" s="56"/>
      <c r="D32" s="56"/>
      <c r="E32" s="38"/>
      <c r="F32" s="38"/>
      <c r="G32" s="38"/>
      <c r="H32" s="38"/>
      <c r="I32" s="38"/>
      <c r="J32" s="38"/>
      <c r="K32" s="38"/>
      <c r="L32" s="38"/>
      <c r="M32" s="38"/>
      <c r="N32" s="38"/>
      <c r="O32" s="38"/>
    </row>
    <row r="33" spans="1:15" ht="20.25" x14ac:dyDescent="0.25">
      <c r="A33" s="54"/>
      <c r="B33" s="54"/>
      <c r="C33" s="56"/>
      <c r="D33" s="56"/>
      <c r="E33" s="38"/>
      <c r="F33" s="38"/>
      <c r="G33" s="38"/>
      <c r="H33" s="38"/>
      <c r="I33" s="38"/>
      <c r="J33" s="38"/>
      <c r="K33" s="38"/>
      <c r="L33" s="38"/>
      <c r="M33" s="38"/>
      <c r="N33" s="38"/>
      <c r="O33" s="38"/>
    </row>
    <row r="34" spans="1:15" ht="20.25" x14ac:dyDescent="0.25">
      <c r="A34" s="54"/>
      <c r="B34" s="54"/>
      <c r="C34" s="56"/>
      <c r="D34" s="56"/>
      <c r="E34" s="38"/>
      <c r="F34" s="38"/>
      <c r="G34" s="38"/>
      <c r="H34" s="38"/>
      <c r="I34" s="38"/>
      <c r="J34" s="38"/>
      <c r="K34" s="38"/>
      <c r="L34" s="38"/>
      <c r="M34" s="38"/>
      <c r="N34" s="38"/>
      <c r="O34" s="38"/>
    </row>
    <row r="35" spans="1:15" ht="20.25" x14ac:dyDescent="0.25">
      <c r="A35" s="54"/>
      <c r="B35" s="54"/>
      <c r="C35" s="56"/>
      <c r="D35" s="56"/>
      <c r="E35" s="38"/>
      <c r="F35" s="38"/>
      <c r="G35" s="38"/>
      <c r="H35" s="38"/>
      <c r="I35" s="38"/>
      <c r="J35" s="38"/>
      <c r="K35" s="38"/>
      <c r="L35" s="38"/>
      <c r="M35" s="38"/>
      <c r="N35" s="38"/>
      <c r="O35" s="38"/>
    </row>
    <row r="36" spans="1:15" ht="20.25" x14ac:dyDescent="0.25">
      <c r="A36" s="54"/>
      <c r="B36" s="54"/>
      <c r="C36" s="56"/>
      <c r="D36" s="56"/>
      <c r="E36" s="38"/>
      <c r="F36" s="38"/>
      <c r="G36" s="38"/>
      <c r="H36" s="38"/>
      <c r="I36" s="38"/>
      <c r="J36" s="38"/>
      <c r="K36" s="38"/>
      <c r="L36" s="38"/>
      <c r="M36" s="38"/>
      <c r="N36" s="38"/>
      <c r="O36" s="38"/>
    </row>
    <row r="37" spans="1:15" ht="20.25" x14ac:dyDescent="0.25">
      <c r="A37" s="54"/>
      <c r="B37" s="54"/>
      <c r="C37" s="56"/>
      <c r="D37" s="56"/>
      <c r="E37" s="38"/>
      <c r="F37" s="38"/>
      <c r="G37" s="38"/>
      <c r="H37" s="38"/>
      <c r="I37" s="38"/>
      <c r="J37" s="38"/>
      <c r="K37" s="38"/>
      <c r="L37" s="38"/>
      <c r="M37" s="38"/>
      <c r="N37" s="38"/>
      <c r="O37" s="38"/>
    </row>
    <row r="38" spans="1:15" ht="20.25" x14ac:dyDescent="0.25">
      <c r="A38" s="54"/>
      <c r="B38" s="54"/>
      <c r="C38" s="56"/>
      <c r="D38" s="56"/>
      <c r="E38" s="38"/>
      <c r="F38" s="38"/>
      <c r="G38" s="38"/>
      <c r="H38" s="38"/>
      <c r="I38" s="38"/>
      <c r="J38" s="38"/>
      <c r="K38" s="38"/>
      <c r="L38" s="38"/>
      <c r="M38" s="38"/>
      <c r="N38" s="38"/>
      <c r="O38" s="38"/>
    </row>
    <row r="39" spans="1:15" ht="20.25" x14ac:dyDescent="0.25">
      <c r="A39" s="54"/>
      <c r="B39" s="54"/>
      <c r="C39" s="56"/>
      <c r="D39" s="56"/>
      <c r="E39" s="38"/>
      <c r="F39" s="38"/>
      <c r="G39" s="38"/>
      <c r="H39" s="38"/>
      <c r="I39" s="38"/>
      <c r="J39" s="38"/>
      <c r="K39" s="38"/>
      <c r="L39" s="38"/>
      <c r="M39" s="38"/>
      <c r="N39" s="38"/>
      <c r="O39" s="38"/>
    </row>
    <row r="40" spans="1:15" ht="20.25" x14ac:dyDescent="0.25">
      <c r="A40" s="54"/>
      <c r="B40" s="54"/>
      <c r="C40" s="56"/>
      <c r="D40" s="56"/>
      <c r="E40" s="38"/>
      <c r="F40" s="38"/>
      <c r="G40" s="38"/>
      <c r="H40" s="38"/>
      <c r="I40" s="38"/>
      <c r="J40" s="38"/>
      <c r="K40" s="38"/>
      <c r="L40" s="38"/>
      <c r="M40" s="38"/>
      <c r="N40" s="38"/>
      <c r="O40" s="38"/>
    </row>
    <row r="41" spans="1:15" ht="20.25" x14ac:dyDescent="0.25">
      <c r="A41" s="54"/>
      <c r="B41" s="54"/>
      <c r="C41" s="56"/>
      <c r="D41" s="56"/>
      <c r="E41" s="38"/>
      <c r="F41" s="38"/>
      <c r="G41" s="38"/>
      <c r="H41" s="38"/>
      <c r="I41" s="38"/>
      <c r="J41" s="38"/>
      <c r="K41" s="38"/>
      <c r="L41" s="38"/>
      <c r="M41" s="38"/>
      <c r="N41" s="38"/>
      <c r="O41" s="38"/>
    </row>
    <row r="42" spans="1:15" ht="20.25" x14ac:dyDescent="0.25">
      <c r="A42" s="54"/>
      <c r="B42" s="54"/>
      <c r="C42" s="56"/>
      <c r="D42" s="56"/>
      <c r="E42" s="38"/>
      <c r="F42" s="38"/>
      <c r="G42" s="38"/>
      <c r="H42" s="38"/>
      <c r="I42" s="38"/>
      <c r="J42" s="38"/>
      <c r="K42" s="38"/>
      <c r="L42" s="38"/>
      <c r="M42" s="38"/>
      <c r="N42" s="38"/>
      <c r="O42" s="38"/>
    </row>
    <row r="43" spans="1:15" ht="20.25" x14ac:dyDescent="0.25">
      <c r="A43" s="54"/>
      <c r="B43" s="54"/>
      <c r="C43" s="56"/>
      <c r="D43" s="56"/>
      <c r="E43" s="38"/>
      <c r="F43" s="38"/>
      <c r="G43" s="38"/>
      <c r="H43" s="38"/>
      <c r="I43" s="38"/>
      <c r="J43" s="38"/>
      <c r="K43" s="38"/>
      <c r="L43" s="38"/>
      <c r="M43" s="38"/>
      <c r="N43" s="38"/>
      <c r="O43" s="38"/>
    </row>
    <row r="44" spans="1:15" ht="20.25" x14ac:dyDescent="0.25">
      <c r="A44" s="54"/>
      <c r="B44" s="54"/>
      <c r="C44" s="56"/>
      <c r="D44" s="56"/>
      <c r="E44" s="38"/>
      <c r="F44" s="38"/>
      <c r="G44" s="38"/>
      <c r="H44" s="38"/>
      <c r="I44" s="38"/>
      <c r="J44" s="38"/>
      <c r="K44" s="38"/>
      <c r="L44" s="38"/>
      <c r="M44" s="38"/>
      <c r="N44" s="38"/>
      <c r="O44" s="38"/>
    </row>
    <row r="45" spans="1:15" ht="20.25" x14ac:dyDescent="0.25">
      <c r="A45" s="54"/>
      <c r="B45" s="54"/>
      <c r="C45" s="56"/>
      <c r="D45" s="56"/>
      <c r="E45" s="38"/>
      <c r="F45" s="38"/>
      <c r="G45" s="38"/>
      <c r="H45" s="38"/>
      <c r="I45" s="38"/>
      <c r="J45" s="38"/>
      <c r="K45" s="38"/>
      <c r="L45" s="38"/>
      <c r="M45" s="38"/>
      <c r="N45" s="38"/>
      <c r="O45" s="38"/>
    </row>
    <row r="46" spans="1:15" ht="20.25" x14ac:dyDescent="0.25">
      <c r="A46" s="54"/>
      <c r="B46" s="54"/>
      <c r="C46" s="56"/>
      <c r="D46" s="56"/>
      <c r="E46" s="38"/>
      <c r="F46" s="38"/>
      <c r="G46" s="38"/>
      <c r="H46" s="38"/>
      <c r="I46" s="38"/>
      <c r="J46" s="38"/>
      <c r="K46" s="38"/>
      <c r="L46" s="38"/>
      <c r="M46" s="38"/>
      <c r="N46" s="38"/>
      <c r="O46" s="38"/>
    </row>
    <row r="47" spans="1:15" ht="20.25" x14ac:dyDescent="0.25">
      <c r="A47" s="54"/>
      <c r="B47" s="54"/>
      <c r="C47" s="56"/>
      <c r="D47" s="56"/>
      <c r="E47" s="38"/>
      <c r="F47" s="38"/>
      <c r="G47" s="38"/>
      <c r="H47" s="38"/>
      <c r="I47" s="38"/>
      <c r="J47" s="38"/>
      <c r="K47" s="38"/>
      <c r="L47" s="38"/>
      <c r="M47" s="38"/>
      <c r="N47" s="38"/>
      <c r="O47" s="38"/>
    </row>
    <row r="48" spans="1:15" ht="20.25" x14ac:dyDescent="0.25">
      <c r="A48" s="54"/>
      <c r="B48" s="54"/>
      <c r="C48" s="56"/>
      <c r="D48" s="56"/>
      <c r="E48" s="38"/>
      <c r="F48" s="38"/>
      <c r="G48" s="38"/>
      <c r="H48" s="38"/>
      <c r="I48" s="38"/>
      <c r="J48" s="38"/>
      <c r="K48" s="38"/>
      <c r="L48" s="38"/>
      <c r="M48" s="38"/>
      <c r="N48" s="38"/>
      <c r="O48" s="38"/>
    </row>
    <row r="49" spans="1:15" ht="20.25" x14ac:dyDescent="0.25">
      <c r="A49" s="54"/>
      <c r="B49" s="54"/>
      <c r="C49" s="56"/>
      <c r="D49" s="56"/>
      <c r="E49" s="38"/>
      <c r="F49" s="38"/>
      <c r="G49" s="38"/>
      <c r="H49" s="38"/>
      <c r="I49" s="38"/>
      <c r="J49" s="38"/>
      <c r="K49" s="38"/>
      <c r="L49" s="38"/>
      <c r="M49" s="38"/>
      <c r="N49" s="38"/>
      <c r="O49" s="38"/>
    </row>
    <row r="50" spans="1:15" ht="20.25" x14ac:dyDescent="0.25">
      <c r="A50" s="54"/>
      <c r="B50" s="54"/>
      <c r="C50" s="56"/>
      <c r="D50" s="56"/>
      <c r="E50" s="38"/>
      <c r="F50" s="38"/>
      <c r="G50" s="38"/>
      <c r="H50" s="38"/>
      <c r="I50" s="38"/>
      <c r="J50" s="38"/>
      <c r="K50" s="38"/>
      <c r="L50" s="38"/>
      <c r="M50" s="38"/>
      <c r="N50" s="38"/>
      <c r="O50" s="38"/>
    </row>
    <row r="51" spans="1:15" ht="20.25" x14ac:dyDescent="0.25">
      <c r="A51" s="54"/>
      <c r="B51" s="54"/>
      <c r="C51" s="56"/>
      <c r="D51" s="56"/>
      <c r="E51" s="38"/>
      <c r="F51" s="38"/>
      <c r="G51" s="38"/>
      <c r="H51" s="38"/>
      <c r="I51" s="38"/>
      <c r="J51" s="38"/>
      <c r="K51" s="38"/>
      <c r="L51" s="38"/>
      <c r="M51" s="38"/>
      <c r="N51" s="38"/>
      <c r="O51" s="38"/>
    </row>
    <row r="52" spans="1:15" ht="20.25" x14ac:dyDescent="0.25">
      <c r="A52" s="54"/>
      <c r="B52" s="20"/>
      <c r="C52" s="26"/>
      <c r="D52" s="26"/>
    </row>
    <row r="53" spans="1:15" ht="20.25" x14ac:dyDescent="0.25">
      <c r="A53" s="54"/>
      <c r="B53" s="20"/>
      <c r="C53" s="26"/>
      <c r="D53" s="26"/>
    </row>
    <row r="54" spans="1:15" ht="20.25" x14ac:dyDescent="0.25">
      <c r="A54" s="54"/>
      <c r="B54" s="20"/>
      <c r="C54" s="26"/>
      <c r="D54" s="26"/>
    </row>
    <row r="55" spans="1:15" ht="20.25" x14ac:dyDescent="0.25">
      <c r="A55" s="54"/>
      <c r="B55" s="20"/>
      <c r="C55" s="26"/>
      <c r="D55" s="26"/>
    </row>
    <row r="56" spans="1:15" ht="20.25" x14ac:dyDescent="0.25">
      <c r="A56" s="54"/>
      <c r="B56" s="20"/>
      <c r="C56" s="26"/>
      <c r="D56" s="26"/>
    </row>
    <row r="57" spans="1:15" ht="20.25" x14ac:dyDescent="0.25">
      <c r="A57" s="54"/>
      <c r="B57" s="20"/>
      <c r="C57" s="26"/>
      <c r="D57" s="26"/>
    </row>
    <row r="58" spans="1:15" ht="20.25" x14ac:dyDescent="0.25">
      <c r="A58" s="54"/>
      <c r="B58" s="20"/>
      <c r="C58" s="26"/>
      <c r="D58" s="26"/>
    </row>
    <row r="59" spans="1:15" ht="20.25" x14ac:dyDescent="0.25">
      <c r="A59" s="54"/>
      <c r="B59" s="20"/>
      <c r="C59" s="26"/>
      <c r="D59" s="26"/>
    </row>
    <row r="60" spans="1:15" ht="20.25" x14ac:dyDescent="0.25">
      <c r="A60" s="54"/>
      <c r="B60" s="20"/>
      <c r="C60" s="26"/>
      <c r="D60" s="26"/>
    </row>
    <row r="61" spans="1:15" ht="20.25" x14ac:dyDescent="0.25">
      <c r="A61" s="54"/>
      <c r="B61" s="20"/>
      <c r="C61" s="26"/>
      <c r="D61" s="26"/>
    </row>
    <row r="62" spans="1:15" ht="20.25" x14ac:dyDescent="0.25">
      <c r="A62" s="54"/>
      <c r="B62" s="20"/>
      <c r="C62" s="26"/>
      <c r="D62" s="26"/>
    </row>
    <row r="63" spans="1:15" ht="20.25" x14ac:dyDescent="0.25">
      <c r="A63" s="54"/>
      <c r="B63" s="20"/>
      <c r="C63" s="26"/>
      <c r="D63" s="26"/>
    </row>
    <row r="64" spans="1:15" ht="20.25" x14ac:dyDescent="0.25">
      <c r="A64" s="54"/>
      <c r="B64" s="20"/>
      <c r="C64" s="26"/>
      <c r="D64" s="26"/>
    </row>
    <row r="65" spans="1:4" ht="20.25" x14ac:dyDescent="0.25">
      <c r="A65" s="54"/>
      <c r="B65" s="20"/>
      <c r="C65" s="26"/>
      <c r="D65" s="26"/>
    </row>
    <row r="66" spans="1:4" ht="20.25" x14ac:dyDescent="0.25">
      <c r="A66" s="54"/>
      <c r="B66" s="20"/>
      <c r="C66" s="26"/>
      <c r="D66" s="26"/>
    </row>
    <row r="67" spans="1:4" ht="20.25" x14ac:dyDescent="0.25">
      <c r="A67" s="54"/>
      <c r="B67" s="20"/>
      <c r="C67" s="26"/>
      <c r="D67" s="26"/>
    </row>
    <row r="68" spans="1:4" ht="20.25" x14ac:dyDescent="0.25">
      <c r="A68" s="54"/>
      <c r="B68" s="20"/>
      <c r="C68" s="26"/>
      <c r="D68" s="26"/>
    </row>
    <row r="69" spans="1:4" ht="20.25" x14ac:dyDescent="0.25">
      <c r="A69" s="54"/>
      <c r="B69" s="20"/>
      <c r="C69" s="26"/>
      <c r="D69" s="26"/>
    </row>
    <row r="70" spans="1:4" ht="20.25" x14ac:dyDescent="0.25">
      <c r="A70" s="54"/>
      <c r="B70" s="20"/>
      <c r="C70" s="26"/>
      <c r="D70" s="26"/>
    </row>
    <row r="71" spans="1:4" ht="20.25" x14ac:dyDescent="0.25">
      <c r="A71" s="54"/>
      <c r="B71" s="20"/>
      <c r="C71" s="26"/>
      <c r="D71" s="26"/>
    </row>
    <row r="72" spans="1:4" ht="20.25" x14ac:dyDescent="0.25">
      <c r="A72" s="54"/>
      <c r="B72" s="20"/>
      <c r="C72" s="26"/>
      <c r="D72" s="26"/>
    </row>
    <row r="73" spans="1:4" ht="20.25" x14ac:dyDescent="0.25">
      <c r="A73" s="54"/>
      <c r="B73" s="20"/>
      <c r="C73" s="26"/>
      <c r="D73" s="26"/>
    </row>
    <row r="74" spans="1:4" ht="20.25" x14ac:dyDescent="0.25">
      <c r="A74" s="54"/>
      <c r="B74" s="20"/>
      <c r="C74" s="26"/>
      <c r="D74" s="26"/>
    </row>
    <row r="75" spans="1:4" ht="20.25" x14ac:dyDescent="0.25">
      <c r="A75" s="54"/>
      <c r="B75" s="20"/>
      <c r="C75" s="26"/>
      <c r="D75" s="26"/>
    </row>
    <row r="76" spans="1:4" ht="20.25" x14ac:dyDescent="0.25">
      <c r="A76" s="54"/>
      <c r="B76" s="20"/>
      <c r="C76" s="26"/>
      <c r="D76" s="26"/>
    </row>
    <row r="77" spans="1:4" ht="20.25" x14ac:dyDescent="0.25">
      <c r="A77" s="54"/>
      <c r="B77" s="20"/>
      <c r="C77" s="26"/>
      <c r="D77" s="26"/>
    </row>
    <row r="78" spans="1:4" ht="20.25" x14ac:dyDescent="0.25">
      <c r="A78" s="54"/>
      <c r="B78" s="20"/>
      <c r="C78" s="26"/>
      <c r="D78" s="26"/>
    </row>
    <row r="79" spans="1:4" ht="20.25" x14ac:dyDescent="0.25">
      <c r="A79" s="54"/>
      <c r="B79" s="20"/>
      <c r="C79" s="26"/>
      <c r="D79" s="26"/>
    </row>
    <row r="80" spans="1:4" ht="20.25" x14ac:dyDescent="0.25">
      <c r="A80" s="54"/>
      <c r="B80" s="20"/>
      <c r="C80" s="26"/>
      <c r="D80" s="26"/>
    </row>
    <row r="81" spans="1:4" ht="20.25" x14ac:dyDescent="0.25">
      <c r="A81" s="54"/>
      <c r="B81" s="20"/>
      <c r="C81" s="26"/>
      <c r="D81" s="26"/>
    </row>
    <row r="82" spans="1:4" ht="20.25" x14ac:dyDescent="0.25">
      <c r="A82" s="54"/>
      <c r="B82" s="20"/>
      <c r="C82" s="26"/>
      <c r="D82" s="26"/>
    </row>
    <row r="83" spans="1:4" ht="20.25" x14ac:dyDescent="0.25">
      <c r="A83" s="54"/>
      <c r="B83" s="20"/>
      <c r="C83" s="26"/>
      <c r="D83" s="26"/>
    </row>
    <row r="84" spans="1:4" ht="20.25" x14ac:dyDescent="0.25">
      <c r="A84" s="54"/>
      <c r="B84" s="20"/>
      <c r="C84" s="26"/>
      <c r="D84" s="26"/>
    </row>
    <row r="85" spans="1:4" ht="20.25" x14ac:dyDescent="0.25">
      <c r="A85" s="54"/>
      <c r="B85" s="20"/>
      <c r="C85" s="26"/>
      <c r="D85" s="26"/>
    </row>
    <row r="86" spans="1:4" ht="20.25" x14ac:dyDescent="0.25">
      <c r="A86" s="54"/>
      <c r="B86" s="20"/>
      <c r="C86" s="26"/>
      <c r="D86" s="26"/>
    </row>
    <row r="87" spans="1:4" ht="20.25" x14ac:dyDescent="0.25">
      <c r="A87" s="54"/>
      <c r="B87" s="20"/>
      <c r="C87" s="26"/>
      <c r="D87" s="26"/>
    </row>
    <row r="88" spans="1:4" ht="20.25" x14ac:dyDescent="0.25">
      <c r="A88" s="54"/>
      <c r="B88" s="20"/>
      <c r="C88" s="26"/>
      <c r="D88" s="26"/>
    </row>
    <row r="89" spans="1:4" ht="20.25" x14ac:dyDescent="0.25">
      <c r="A89" s="54"/>
      <c r="B89" s="20"/>
      <c r="C89" s="26"/>
      <c r="D89" s="26"/>
    </row>
    <row r="90" spans="1:4" ht="20.25" x14ac:dyDescent="0.25">
      <c r="A90" s="54"/>
      <c r="B90" s="20"/>
      <c r="C90" s="26"/>
      <c r="D90" s="26"/>
    </row>
    <row r="91" spans="1:4" ht="20.25" x14ac:dyDescent="0.25">
      <c r="A91" s="54"/>
      <c r="B91" s="20"/>
      <c r="C91" s="26"/>
      <c r="D91" s="26"/>
    </row>
    <row r="92" spans="1:4" ht="20.25" x14ac:dyDescent="0.25">
      <c r="A92" s="54"/>
      <c r="B92" s="20"/>
      <c r="C92" s="26"/>
      <c r="D92" s="26"/>
    </row>
    <row r="93" spans="1:4" ht="20.25" x14ac:dyDescent="0.25">
      <c r="A93" s="54"/>
      <c r="B93" s="20"/>
      <c r="C93" s="26"/>
      <c r="D93" s="26"/>
    </row>
    <row r="94" spans="1:4" ht="20.25" x14ac:dyDescent="0.25">
      <c r="A94" s="54"/>
      <c r="B94" s="20"/>
      <c r="C94" s="26"/>
      <c r="D94" s="26"/>
    </row>
    <row r="95" spans="1:4" ht="20.25" x14ac:dyDescent="0.25">
      <c r="A95" s="54"/>
      <c r="B95" s="20"/>
      <c r="C95" s="26"/>
      <c r="D95" s="26"/>
    </row>
    <row r="96" spans="1:4" ht="20.25" x14ac:dyDescent="0.25">
      <c r="A96" s="54"/>
      <c r="B96" s="20"/>
      <c r="C96" s="26"/>
      <c r="D96" s="26"/>
    </row>
    <row r="97" spans="1:4" ht="20.25" x14ac:dyDescent="0.25">
      <c r="A97" s="54"/>
      <c r="B97" s="20"/>
      <c r="C97" s="26"/>
      <c r="D97" s="26"/>
    </row>
    <row r="98" spans="1:4" ht="20.25" x14ac:dyDescent="0.25">
      <c r="A98" s="54"/>
      <c r="B98" s="20"/>
      <c r="C98" s="26"/>
      <c r="D98" s="26"/>
    </row>
    <row r="99" spans="1:4" ht="20.25" x14ac:dyDescent="0.25">
      <c r="A99" s="54"/>
      <c r="B99" s="20"/>
      <c r="C99" s="26"/>
      <c r="D99" s="26"/>
    </row>
    <row r="100" spans="1:4" ht="20.25" x14ac:dyDescent="0.25">
      <c r="A100" s="54"/>
      <c r="B100" s="20"/>
      <c r="C100" s="26"/>
      <c r="D100" s="26"/>
    </row>
    <row r="101" spans="1:4" ht="20.25" x14ac:dyDescent="0.25">
      <c r="A101" s="54"/>
      <c r="B101" s="20"/>
      <c r="C101" s="26"/>
      <c r="D101" s="26"/>
    </row>
    <row r="102" spans="1:4" ht="20.25" x14ac:dyDescent="0.25">
      <c r="A102" s="54"/>
      <c r="B102" s="20"/>
      <c r="C102" s="26"/>
      <c r="D102" s="26"/>
    </row>
    <row r="103" spans="1:4" ht="20.25" x14ac:dyDescent="0.25">
      <c r="A103" s="54"/>
      <c r="B103" s="20"/>
      <c r="C103" s="26"/>
      <c r="D103" s="26"/>
    </row>
    <row r="104" spans="1:4" ht="20.25" x14ac:dyDescent="0.25">
      <c r="A104" s="54"/>
      <c r="B104" s="20"/>
      <c r="C104" s="26"/>
      <c r="D104" s="26"/>
    </row>
    <row r="105" spans="1:4" ht="20.25" x14ac:dyDescent="0.25">
      <c r="A105" s="54"/>
      <c r="B105" s="20"/>
      <c r="C105" s="26"/>
      <c r="D105" s="26"/>
    </row>
    <row r="106" spans="1:4" ht="20.25" x14ac:dyDescent="0.25">
      <c r="A106" s="54"/>
      <c r="B106" s="20"/>
      <c r="C106" s="26"/>
      <c r="D106" s="26"/>
    </row>
    <row r="107" spans="1:4" ht="20.25" x14ac:dyDescent="0.25">
      <c r="A107" s="54"/>
      <c r="B107" s="20"/>
      <c r="C107" s="26"/>
      <c r="D107" s="26"/>
    </row>
    <row r="108" spans="1:4" ht="20.25" x14ac:dyDescent="0.25">
      <c r="A108" s="54"/>
      <c r="B108" s="20"/>
      <c r="C108" s="26"/>
      <c r="D108" s="26"/>
    </row>
    <row r="109" spans="1:4" ht="20.25" x14ac:dyDescent="0.25">
      <c r="A109" s="54"/>
      <c r="B109" s="20"/>
      <c r="C109" s="26"/>
      <c r="D109" s="26"/>
    </row>
    <row r="110" spans="1:4" ht="20.25" x14ac:dyDescent="0.25">
      <c r="A110" s="54"/>
      <c r="B110" s="20"/>
      <c r="C110" s="26"/>
      <c r="D110" s="26"/>
    </row>
    <row r="111" spans="1:4" ht="20.25" x14ac:dyDescent="0.25">
      <c r="A111" s="54"/>
      <c r="B111" s="20"/>
      <c r="C111" s="26"/>
      <c r="D111" s="26"/>
    </row>
    <row r="112" spans="1:4" ht="20.25" x14ac:dyDescent="0.25">
      <c r="A112" s="54"/>
      <c r="B112" s="20"/>
      <c r="C112" s="26"/>
      <c r="D112" s="26"/>
    </row>
    <row r="113" spans="1:4" ht="20.25" x14ac:dyDescent="0.25">
      <c r="A113" s="54"/>
      <c r="B113" s="20"/>
      <c r="C113" s="26"/>
      <c r="D113" s="26"/>
    </row>
    <row r="114" spans="1:4" ht="20.25" x14ac:dyDescent="0.25">
      <c r="A114" s="54"/>
      <c r="B114" s="20"/>
      <c r="C114" s="26"/>
      <c r="D114" s="26"/>
    </row>
    <row r="115" spans="1:4" ht="20.25" x14ac:dyDescent="0.25">
      <c r="A115" s="54"/>
      <c r="B115" s="20"/>
      <c r="C115" s="26"/>
      <c r="D115" s="26"/>
    </row>
    <row r="116" spans="1:4" ht="20.25" x14ac:dyDescent="0.25">
      <c r="A116" s="54"/>
      <c r="B116" s="20"/>
      <c r="C116" s="26"/>
      <c r="D116" s="26"/>
    </row>
    <row r="117" spans="1:4" ht="20.25" x14ac:dyDescent="0.25">
      <c r="A117" s="54"/>
      <c r="B117" s="20"/>
      <c r="C117" s="26"/>
      <c r="D117" s="26"/>
    </row>
    <row r="118" spans="1:4" ht="20.25" x14ac:dyDescent="0.25">
      <c r="A118" s="54"/>
      <c r="B118" s="20"/>
      <c r="C118" s="26"/>
      <c r="D118" s="26"/>
    </row>
    <row r="119" spans="1:4" ht="20.25" x14ac:dyDescent="0.25">
      <c r="A119" s="54"/>
      <c r="B119" s="20"/>
      <c r="C119" s="26"/>
      <c r="D119" s="26"/>
    </row>
    <row r="120" spans="1:4" ht="20.25" x14ac:dyDescent="0.25">
      <c r="A120" s="54"/>
      <c r="B120" s="20"/>
      <c r="C120" s="26"/>
      <c r="D120" s="26"/>
    </row>
    <row r="121" spans="1:4" ht="20.25" x14ac:dyDescent="0.25">
      <c r="A121" s="54"/>
      <c r="B121" s="20"/>
      <c r="C121" s="26"/>
      <c r="D121" s="26"/>
    </row>
    <row r="122" spans="1:4" ht="20.25" x14ac:dyDescent="0.25">
      <c r="A122" s="54"/>
      <c r="B122" s="20"/>
      <c r="C122" s="26"/>
      <c r="D122" s="26"/>
    </row>
    <row r="123" spans="1:4" ht="20.25" x14ac:dyDescent="0.25">
      <c r="A123" s="54"/>
      <c r="B123" s="20"/>
      <c r="C123" s="26"/>
      <c r="D123" s="26"/>
    </row>
    <row r="124" spans="1:4" ht="20.25" x14ac:dyDescent="0.25">
      <c r="A124" s="54"/>
      <c r="B124" s="20"/>
      <c r="C124" s="26"/>
      <c r="D124" s="26"/>
    </row>
    <row r="125" spans="1:4" ht="20.25" x14ac:dyDescent="0.25">
      <c r="A125" s="54"/>
      <c r="B125" s="20"/>
      <c r="C125" s="26"/>
      <c r="D125" s="26"/>
    </row>
    <row r="126" spans="1:4" ht="20.25" x14ac:dyDescent="0.25">
      <c r="A126" s="54"/>
      <c r="B126" s="20"/>
      <c r="C126" s="26"/>
      <c r="D126" s="26"/>
    </row>
    <row r="127" spans="1:4" ht="20.25" x14ac:dyDescent="0.25">
      <c r="A127" s="54"/>
      <c r="B127" s="20"/>
      <c r="C127" s="26"/>
      <c r="D127" s="26"/>
    </row>
    <row r="128" spans="1:4" ht="20.25" x14ac:dyDescent="0.25">
      <c r="A128" s="54"/>
      <c r="B128" s="20"/>
      <c r="C128" s="26"/>
      <c r="D128" s="26"/>
    </row>
    <row r="129" spans="1:4" ht="20.25" x14ac:dyDescent="0.25">
      <c r="A129" s="54"/>
      <c r="B129" s="20"/>
      <c r="C129" s="26"/>
      <c r="D129" s="26"/>
    </row>
    <row r="130" spans="1:4" ht="20.25" x14ac:dyDescent="0.25">
      <c r="A130" s="54"/>
      <c r="B130" s="20"/>
      <c r="C130" s="26"/>
      <c r="D130" s="26"/>
    </row>
    <row r="131" spans="1:4" ht="20.25" x14ac:dyDescent="0.25">
      <c r="A131" s="54"/>
      <c r="B131" s="20"/>
      <c r="C131" s="26"/>
      <c r="D131" s="26"/>
    </row>
    <row r="132" spans="1:4" ht="20.25" x14ac:dyDescent="0.25">
      <c r="A132" s="54"/>
      <c r="B132" s="20"/>
      <c r="C132" s="26"/>
      <c r="D132" s="26"/>
    </row>
    <row r="133" spans="1:4" ht="20.25" x14ac:dyDescent="0.25">
      <c r="A133" s="54"/>
      <c r="B133" s="20"/>
      <c r="C133" s="26"/>
      <c r="D133" s="26"/>
    </row>
    <row r="134" spans="1:4" ht="20.25" x14ac:dyDescent="0.25">
      <c r="A134" s="54"/>
      <c r="B134" s="20"/>
      <c r="C134" s="26"/>
      <c r="D134" s="26"/>
    </row>
    <row r="135" spans="1:4" ht="20.25" x14ac:dyDescent="0.25">
      <c r="A135" s="54"/>
      <c r="B135" s="20"/>
      <c r="C135" s="26"/>
      <c r="D135" s="26"/>
    </row>
    <row r="136" spans="1:4" ht="20.25" x14ac:dyDescent="0.25">
      <c r="A136" s="54"/>
      <c r="B136" s="20"/>
      <c r="C136" s="26"/>
      <c r="D136" s="26"/>
    </row>
    <row r="137" spans="1:4" ht="20.25" x14ac:dyDescent="0.25">
      <c r="A137" s="54"/>
      <c r="B137" s="20"/>
      <c r="C137" s="26"/>
      <c r="D137" s="26"/>
    </row>
    <row r="138" spans="1:4" ht="20.25" x14ac:dyDescent="0.25">
      <c r="A138" s="54"/>
      <c r="B138" s="20"/>
      <c r="C138" s="26"/>
      <c r="D138" s="26"/>
    </row>
    <row r="139" spans="1:4" ht="20.25" x14ac:dyDescent="0.25">
      <c r="A139" s="54"/>
      <c r="B139" s="20"/>
      <c r="C139" s="26"/>
      <c r="D139" s="26"/>
    </row>
    <row r="140" spans="1:4" ht="20.25" x14ac:dyDescent="0.25">
      <c r="A140" s="54"/>
      <c r="B140" s="20"/>
      <c r="C140" s="26"/>
      <c r="D140" s="26"/>
    </row>
    <row r="141" spans="1:4" ht="20.25" x14ac:dyDescent="0.25">
      <c r="A141" s="54"/>
      <c r="B141" s="20"/>
      <c r="C141" s="26"/>
      <c r="D141" s="26"/>
    </row>
    <row r="142" spans="1:4" ht="20.25" x14ac:dyDescent="0.25">
      <c r="A142" s="54"/>
      <c r="B142" s="20"/>
      <c r="C142" s="26"/>
      <c r="D142" s="26"/>
    </row>
    <row r="143" spans="1:4" ht="20.25" x14ac:dyDescent="0.25">
      <c r="A143" s="54"/>
      <c r="B143" s="20"/>
      <c r="C143" s="26"/>
      <c r="D143" s="26"/>
    </row>
    <row r="144" spans="1:4" ht="20.25" x14ac:dyDescent="0.25">
      <c r="A144" s="54"/>
      <c r="B144" s="20"/>
      <c r="C144" s="26"/>
      <c r="D144" s="26"/>
    </row>
    <row r="145" spans="1:4" ht="20.25" x14ac:dyDescent="0.25">
      <c r="A145" s="54"/>
      <c r="B145" s="20"/>
      <c r="C145" s="26"/>
      <c r="D145" s="26"/>
    </row>
    <row r="146" spans="1:4" ht="20.25" x14ac:dyDescent="0.25">
      <c r="A146" s="54"/>
      <c r="B146" s="20"/>
      <c r="C146" s="26"/>
      <c r="D146" s="26"/>
    </row>
    <row r="147" spans="1:4" ht="20.25" x14ac:dyDescent="0.25">
      <c r="A147" s="54"/>
      <c r="B147" s="20"/>
      <c r="C147" s="26"/>
      <c r="D147" s="26"/>
    </row>
    <row r="148" spans="1:4" ht="20.25" x14ac:dyDescent="0.25">
      <c r="A148" s="54"/>
      <c r="B148" s="20"/>
      <c r="C148" s="26"/>
      <c r="D148" s="26"/>
    </row>
    <row r="149" spans="1:4" ht="20.25" x14ac:dyDescent="0.25">
      <c r="A149" s="54"/>
      <c r="B149" s="20"/>
      <c r="C149" s="26"/>
      <c r="D149" s="26"/>
    </row>
    <row r="150" spans="1:4" ht="20.25" x14ac:dyDescent="0.25">
      <c r="A150" s="54"/>
      <c r="B150" s="20"/>
      <c r="C150" s="26"/>
      <c r="D150" s="26"/>
    </row>
    <row r="151" spans="1:4" ht="20.25" x14ac:dyDescent="0.25">
      <c r="A151" s="54"/>
      <c r="B151" s="20"/>
      <c r="C151" s="26"/>
      <c r="D151" s="26"/>
    </row>
    <row r="152" spans="1:4" ht="20.25" x14ac:dyDescent="0.25">
      <c r="A152" s="54"/>
      <c r="B152" s="20"/>
      <c r="C152" s="26"/>
      <c r="D152" s="26"/>
    </row>
    <row r="153" spans="1:4" ht="20.25" x14ac:dyDescent="0.25">
      <c r="A153" s="54"/>
      <c r="B153" s="20"/>
      <c r="C153" s="26"/>
      <c r="D153" s="26"/>
    </row>
    <row r="154" spans="1:4" ht="20.25" x14ac:dyDescent="0.25">
      <c r="A154" s="54"/>
      <c r="B154" s="20"/>
      <c r="C154" s="26"/>
      <c r="D154" s="26"/>
    </row>
    <row r="155" spans="1:4" ht="20.25" x14ac:dyDescent="0.25">
      <c r="A155" s="54"/>
      <c r="B155" s="20"/>
      <c r="C155" s="26"/>
      <c r="D155" s="26"/>
    </row>
    <row r="156" spans="1:4" ht="20.25" x14ac:dyDescent="0.25">
      <c r="A156" s="54"/>
      <c r="B156" s="20"/>
      <c r="C156" s="26"/>
      <c r="D156" s="26"/>
    </row>
    <row r="157" spans="1:4" ht="20.25" x14ac:dyDescent="0.25">
      <c r="A157" s="54"/>
      <c r="B157" s="20"/>
      <c r="C157" s="26"/>
      <c r="D157" s="26"/>
    </row>
    <row r="158" spans="1:4" ht="20.25" x14ac:dyDescent="0.25">
      <c r="A158" s="54"/>
      <c r="B158" s="20"/>
      <c r="C158" s="26"/>
      <c r="D158" s="26"/>
    </row>
    <row r="159" spans="1:4" ht="20.25" x14ac:dyDescent="0.25">
      <c r="A159" s="54"/>
      <c r="B159" s="20"/>
      <c r="C159" s="26"/>
      <c r="D159" s="26"/>
    </row>
    <row r="160" spans="1:4" ht="20.25" x14ac:dyDescent="0.25">
      <c r="A160" s="54"/>
      <c r="B160" s="20"/>
      <c r="C160" s="26"/>
      <c r="D160" s="26"/>
    </row>
    <row r="161" spans="1:4" ht="20.25" x14ac:dyDescent="0.25">
      <c r="A161" s="54"/>
      <c r="B161" s="20"/>
      <c r="C161" s="26"/>
      <c r="D161" s="26"/>
    </row>
    <row r="162" spans="1:4" ht="20.25" x14ac:dyDescent="0.25">
      <c r="A162" s="54"/>
      <c r="B162" s="20"/>
      <c r="C162" s="26"/>
      <c r="D162" s="26"/>
    </row>
    <row r="163" spans="1:4" ht="20.25" x14ac:dyDescent="0.25">
      <c r="A163" s="54"/>
      <c r="B163" s="20"/>
      <c r="C163" s="26"/>
      <c r="D163" s="26"/>
    </row>
    <row r="164" spans="1:4" ht="20.25" x14ac:dyDescent="0.25">
      <c r="A164" s="54"/>
      <c r="B164" s="20"/>
      <c r="C164" s="26"/>
      <c r="D164" s="26"/>
    </row>
    <row r="165" spans="1:4" ht="20.25" x14ac:dyDescent="0.25">
      <c r="A165" s="54"/>
      <c r="B165" s="20"/>
      <c r="C165" s="26"/>
      <c r="D165" s="26"/>
    </row>
    <row r="166" spans="1:4" ht="20.25" x14ac:dyDescent="0.25">
      <c r="A166" s="54"/>
      <c r="B166" s="20"/>
      <c r="C166" s="26"/>
      <c r="D166" s="26"/>
    </row>
    <row r="167" spans="1:4" ht="20.25" x14ac:dyDescent="0.25">
      <c r="A167" s="54"/>
      <c r="B167" s="20"/>
      <c r="C167" s="26"/>
      <c r="D167" s="26"/>
    </row>
    <row r="168" spans="1:4" ht="20.25" x14ac:dyDescent="0.25">
      <c r="A168" s="54"/>
      <c r="B168" s="20"/>
      <c r="C168" s="26"/>
      <c r="D168" s="26"/>
    </row>
    <row r="169" spans="1:4" ht="20.25" x14ac:dyDescent="0.25">
      <c r="A169" s="54"/>
      <c r="B169" s="20"/>
      <c r="C169" s="26"/>
      <c r="D169" s="26"/>
    </row>
    <row r="170" spans="1:4" ht="20.25" x14ac:dyDescent="0.25">
      <c r="A170" s="54"/>
      <c r="B170" s="20"/>
      <c r="C170" s="26"/>
      <c r="D170" s="26"/>
    </row>
    <row r="171" spans="1:4" ht="20.25" x14ac:dyDescent="0.25">
      <c r="A171" s="54"/>
      <c r="B171" s="20"/>
      <c r="C171" s="26"/>
      <c r="D171" s="26"/>
    </row>
    <row r="172" spans="1:4" ht="20.25" x14ac:dyDescent="0.25">
      <c r="A172" s="54"/>
      <c r="B172" s="20"/>
      <c r="C172" s="26"/>
      <c r="D172" s="26"/>
    </row>
    <row r="173" spans="1:4" ht="20.25" x14ac:dyDescent="0.25">
      <c r="A173" s="54"/>
      <c r="B173" s="20"/>
      <c r="C173" s="26"/>
      <c r="D173" s="26"/>
    </row>
    <row r="174" spans="1:4" ht="20.25" x14ac:dyDescent="0.25">
      <c r="A174" s="54"/>
      <c r="B174" s="20"/>
      <c r="C174" s="26"/>
      <c r="D174" s="26"/>
    </row>
    <row r="175" spans="1:4" ht="20.25" x14ac:dyDescent="0.25">
      <c r="A175" s="54"/>
      <c r="B175" s="20"/>
      <c r="C175" s="26"/>
      <c r="D175" s="26"/>
    </row>
    <row r="176" spans="1:4" ht="20.25" x14ac:dyDescent="0.25">
      <c r="A176" s="54"/>
      <c r="B176" s="20"/>
      <c r="C176" s="26"/>
      <c r="D176" s="26"/>
    </row>
    <row r="177" spans="1:4" ht="20.25" x14ac:dyDescent="0.25">
      <c r="A177" s="54"/>
      <c r="B177" s="20"/>
      <c r="C177" s="26"/>
      <c r="D177" s="26"/>
    </row>
    <row r="178" spans="1:4" ht="20.25" x14ac:dyDescent="0.25">
      <c r="A178" s="54"/>
      <c r="B178" s="20"/>
      <c r="C178" s="26"/>
      <c r="D178" s="26"/>
    </row>
    <row r="179" spans="1:4" ht="20.25" x14ac:dyDescent="0.25">
      <c r="A179" s="54"/>
      <c r="B179" s="20"/>
      <c r="C179" s="26"/>
      <c r="D179" s="26"/>
    </row>
    <row r="180" spans="1:4" ht="20.25" x14ac:dyDescent="0.25">
      <c r="A180" s="54"/>
      <c r="B180" s="20"/>
      <c r="C180" s="26"/>
      <c r="D180" s="26"/>
    </row>
    <row r="181" spans="1:4" ht="20.25" x14ac:dyDescent="0.25">
      <c r="A181" s="54"/>
      <c r="B181" s="20"/>
      <c r="C181" s="26"/>
      <c r="D181" s="26"/>
    </row>
    <row r="182" spans="1:4" ht="20.25" x14ac:dyDescent="0.25">
      <c r="A182" s="54"/>
      <c r="B182" s="20"/>
      <c r="C182" s="26"/>
      <c r="D182" s="26"/>
    </row>
    <row r="183" spans="1:4" ht="20.25" x14ac:dyDescent="0.25">
      <c r="A183" s="54"/>
      <c r="B183" s="20"/>
      <c r="C183" s="26"/>
      <c r="D183" s="26"/>
    </row>
    <row r="184" spans="1:4" ht="20.25" x14ac:dyDescent="0.25">
      <c r="A184" s="54"/>
      <c r="B184" s="20"/>
      <c r="C184" s="26"/>
      <c r="D184" s="26"/>
    </row>
    <row r="185" spans="1:4" ht="20.25" x14ac:dyDescent="0.25">
      <c r="A185" s="54"/>
      <c r="B185" s="20"/>
      <c r="C185" s="26"/>
      <c r="D185" s="26"/>
    </row>
    <row r="186" spans="1:4" ht="20.25" x14ac:dyDescent="0.25">
      <c r="A186" s="54"/>
      <c r="B186" s="20"/>
      <c r="C186" s="26"/>
      <c r="D186" s="26"/>
    </row>
    <row r="187" spans="1:4" ht="20.25" x14ac:dyDescent="0.25">
      <c r="A187" s="54"/>
      <c r="B187" s="20"/>
      <c r="C187" s="26"/>
      <c r="D187" s="26"/>
    </row>
    <row r="188" spans="1:4" ht="20.25" x14ac:dyDescent="0.25">
      <c r="A188" s="54"/>
      <c r="B188" s="20"/>
      <c r="C188" s="26"/>
      <c r="D188" s="26"/>
    </row>
    <row r="189" spans="1:4" ht="20.25" x14ac:dyDescent="0.25">
      <c r="A189" s="54"/>
      <c r="B189" s="20"/>
      <c r="C189" s="26"/>
      <c r="D189" s="26"/>
    </row>
    <row r="190" spans="1:4" ht="20.25" x14ac:dyDescent="0.25">
      <c r="A190" s="54"/>
      <c r="B190" s="20"/>
      <c r="C190" s="26"/>
      <c r="D190" s="26"/>
    </row>
    <row r="191" spans="1:4" ht="20.25" x14ac:dyDescent="0.25">
      <c r="A191" s="54"/>
      <c r="B191" s="20"/>
      <c r="C191" s="26"/>
      <c r="D191" s="26"/>
    </row>
    <row r="192" spans="1:4" ht="20.25" x14ac:dyDescent="0.25">
      <c r="A192" s="54"/>
      <c r="B192" s="20"/>
      <c r="C192" s="26"/>
      <c r="D192" s="26"/>
    </row>
    <row r="193" spans="1:4" ht="20.25" x14ac:dyDescent="0.25">
      <c r="A193" s="54"/>
      <c r="B193" s="20"/>
      <c r="C193" s="26"/>
      <c r="D193" s="26"/>
    </row>
    <row r="194" spans="1:4" ht="20.25" x14ac:dyDescent="0.25">
      <c r="A194" s="54"/>
      <c r="B194" s="20"/>
      <c r="C194" s="26"/>
      <c r="D194" s="26"/>
    </row>
    <row r="195" spans="1:4" ht="20.25" x14ac:dyDescent="0.25">
      <c r="A195" s="54"/>
      <c r="B195" s="20"/>
      <c r="C195" s="26"/>
      <c r="D195" s="26"/>
    </row>
    <row r="196" spans="1:4" ht="20.25" x14ac:dyDescent="0.25">
      <c r="A196" s="54"/>
      <c r="B196" s="20"/>
      <c r="C196" s="26"/>
      <c r="D196" s="26"/>
    </row>
    <row r="197" spans="1:4" ht="20.25" x14ac:dyDescent="0.25">
      <c r="A197" s="54"/>
      <c r="B197" s="20"/>
      <c r="C197" s="26"/>
      <c r="D197" s="26"/>
    </row>
    <row r="198" spans="1:4" ht="20.25" x14ac:dyDescent="0.25">
      <c r="A198" s="54"/>
      <c r="B198" s="20"/>
      <c r="C198" s="26"/>
      <c r="D198" s="26"/>
    </row>
    <row r="199" spans="1:4" ht="20.25" x14ac:dyDescent="0.25">
      <c r="A199" s="54"/>
      <c r="B199" s="20"/>
      <c r="C199" s="26"/>
      <c r="D199" s="26"/>
    </row>
    <row r="200" spans="1:4" ht="20.25" x14ac:dyDescent="0.25">
      <c r="A200" s="54"/>
      <c r="B200" s="20"/>
      <c r="C200" s="26"/>
      <c r="D200" s="26"/>
    </row>
    <row r="201" spans="1:4" ht="20.25" x14ac:dyDescent="0.25">
      <c r="A201" s="54"/>
      <c r="B201" s="20"/>
      <c r="C201" s="26"/>
      <c r="D201" s="26"/>
    </row>
    <row r="202" spans="1:4" ht="20.25" x14ac:dyDescent="0.25">
      <c r="A202" s="54"/>
      <c r="B202" s="20"/>
      <c r="C202" s="26"/>
      <c r="D202" s="26"/>
    </row>
    <row r="203" spans="1:4" ht="20.25" x14ac:dyDescent="0.25">
      <c r="A203" s="54"/>
      <c r="B203" s="20"/>
      <c r="C203" s="26"/>
      <c r="D203" s="26"/>
    </row>
    <row r="204" spans="1:4" ht="20.25" x14ac:dyDescent="0.25">
      <c r="A204" s="54"/>
      <c r="B204" s="20"/>
      <c r="C204" s="26"/>
      <c r="D204" s="26"/>
    </row>
    <row r="205" spans="1:4" ht="20.25" x14ac:dyDescent="0.25">
      <c r="A205" s="54"/>
      <c r="B205" s="20"/>
      <c r="C205" s="26"/>
      <c r="D205" s="26"/>
    </row>
    <row r="206" spans="1:4" ht="20.25" x14ac:dyDescent="0.25">
      <c r="A206" s="54"/>
      <c r="B206" s="20"/>
      <c r="C206" s="26"/>
      <c r="D206" s="26"/>
    </row>
    <row r="207" spans="1:4" ht="20.25" x14ac:dyDescent="0.25">
      <c r="A207" s="54"/>
      <c r="B207" s="20"/>
      <c r="C207" s="26"/>
      <c r="D207" s="26"/>
    </row>
    <row r="208" spans="1:4" x14ac:dyDescent="0.25">
      <c r="A208" s="38"/>
      <c r="B208" s="20"/>
      <c r="C208" s="20"/>
      <c r="D208" s="20"/>
    </row>
    <row r="209" spans="1:8" ht="20.25" x14ac:dyDescent="0.25">
      <c r="A209" s="38"/>
      <c r="B209" s="22" t="s">
        <v>141</v>
      </c>
      <c r="C209" s="22" t="s">
        <v>142</v>
      </c>
      <c r="D209" s="25" t="s">
        <v>141</v>
      </c>
      <c r="E209" s="25" t="s">
        <v>142</v>
      </c>
    </row>
    <row r="210" spans="1:8" ht="21" x14ac:dyDescent="0.35">
      <c r="A210" s="38"/>
      <c r="B210" s="23" t="s">
        <v>143</v>
      </c>
      <c r="C210" s="23" t="s">
        <v>144</v>
      </c>
      <c r="D210" t="s">
        <v>143</v>
      </c>
      <c r="F210" t="str">
        <f>IF(NOT(ISBLANK(D210)),D210,IF(NOT(ISBLANK(E210)),"     "&amp;E210,FALSE))</f>
        <v>Afectación Económica o presupuestal</v>
      </c>
      <c r="G210" t="s">
        <v>143</v>
      </c>
      <c r="H210" t="str">
        <f ca="1">IF(NOT(ISERROR(MATCH(G210,_xlfn.ANCHORARRAY(B221),0))),F223&amp;"Por favor no seleccionar los criterios de impacto",G210)</f>
        <v>Afectación Económica o presupuestal</v>
      </c>
    </row>
    <row r="211" spans="1:8" ht="21" x14ac:dyDescent="0.35">
      <c r="A211" s="38"/>
      <c r="B211" s="23" t="s">
        <v>143</v>
      </c>
      <c r="C211" s="23" t="s">
        <v>116</v>
      </c>
      <c r="E211" t="s">
        <v>144</v>
      </c>
      <c r="F211" t="str">
        <f t="shared" ref="F211:F221" si="0">IF(NOT(ISBLANK(D211)),D211,IF(NOT(ISBLANK(E211)),"     "&amp;E211,FALSE))</f>
        <v xml:space="preserve">     Afectación menor a 10 SMLMV .</v>
      </c>
    </row>
    <row r="212" spans="1:8" ht="21" x14ac:dyDescent="0.35">
      <c r="A212" s="38"/>
      <c r="B212" s="23" t="s">
        <v>143</v>
      </c>
      <c r="C212" s="23" t="s">
        <v>119</v>
      </c>
      <c r="E212" t="s">
        <v>116</v>
      </c>
      <c r="F212" t="str">
        <f t="shared" si="0"/>
        <v xml:space="preserve">     Entre 10 y 50 SMLMV </v>
      </c>
    </row>
    <row r="213" spans="1:8" ht="21" x14ac:dyDescent="0.35">
      <c r="A213" s="38"/>
      <c r="B213" s="23" t="s">
        <v>143</v>
      </c>
      <c r="C213" s="23" t="s">
        <v>123</v>
      </c>
      <c r="E213" t="s">
        <v>119</v>
      </c>
      <c r="F213" t="str">
        <f t="shared" si="0"/>
        <v xml:space="preserve">     Entre 50 y 100 SMLMV </v>
      </c>
    </row>
    <row r="214" spans="1:8" ht="21" x14ac:dyDescent="0.35">
      <c r="A214" s="38"/>
      <c r="B214" s="23" t="s">
        <v>143</v>
      </c>
      <c r="C214" s="23" t="s">
        <v>127</v>
      </c>
      <c r="E214" t="s">
        <v>123</v>
      </c>
      <c r="F214" t="str">
        <f t="shared" si="0"/>
        <v xml:space="preserve">     Entre 100 y 500 SMLMV </v>
      </c>
    </row>
    <row r="215" spans="1:8" ht="21" x14ac:dyDescent="0.35">
      <c r="A215" s="38"/>
      <c r="B215" s="23" t="s">
        <v>109</v>
      </c>
      <c r="C215" s="23" t="s">
        <v>113</v>
      </c>
      <c r="E215" t="s">
        <v>127</v>
      </c>
      <c r="F215" t="str">
        <f t="shared" si="0"/>
        <v xml:space="preserve">     Mayor a 500 SMLMV </v>
      </c>
    </row>
    <row r="216" spans="1:8" ht="21" x14ac:dyDescent="0.35">
      <c r="A216" s="38"/>
      <c r="B216" s="23" t="s">
        <v>109</v>
      </c>
      <c r="C216" s="23" t="s">
        <v>117</v>
      </c>
      <c r="D216" t="s">
        <v>109</v>
      </c>
      <c r="F216" t="str">
        <f t="shared" si="0"/>
        <v>Pérdida Reputacional</v>
      </c>
    </row>
    <row r="217" spans="1:8" ht="21" x14ac:dyDescent="0.35">
      <c r="A217" s="38"/>
      <c r="B217" s="23" t="s">
        <v>109</v>
      </c>
      <c r="C217" s="23" t="s">
        <v>120</v>
      </c>
      <c r="E217" t="s">
        <v>113</v>
      </c>
      <c r="F217" t="str">
        <f t="shared" si="0"/>
        <v xml:space="preserve">     El riesgo afecta la imagen de alguna área de la organización</v>
      </c>
    </row>
    <row r="218" spans="1:8" ht="21" x14ac:dyDescent="0.35">
      <c r="A218" s="38"/>
      <c r="B218" s="23" t="s">
        <v>109</v>
      </c>
      <c r="C218" s="23" t="s">
        <v>124</v>
      </c>
      <c r="E218" t="s">
        <v>117</v>
      </c>
      <c r="F218" t="str">
        <f t="shared" si="0"/>
        <v xml:space="preserve">     El riesgo afecta la imagen de la entidad internamente, de conocimiento general, nivel interno, de junta dircetiva y accionistas y/o de provedores</v>
      </c>
    </row>
    <row r="219" spans="1:8" ht="21" x14ac:dyDescent="0.35">
      <c r="A219" s="38"/>
      <c r="B219" s="23" t="s">
        <v>109</v>
      </c>
      <c r="C219" s="23" t="s">
        <v>128</v>
      </c>
      <c r="E219" t="s">
        <v>120</v>
      </c>
      <c r="F219" t="str">
        <f t="shared" si="0"/>
        <v xml:space="preserve">     El riesgo afecta la imagen de la entidad con algunos usuarios de relevancia frente al logro de los objetivos</v>
      </c>
    </row>
    <row r="220" spans="1:8" x14ac:dyDescent="0.25">
      <c r="A220" s="38"/>
      <c r="B220" s="24"/>
      <c r="C220" s="24"/>
      <c r="E220" t="s">
        <v>124</v>
      </c>
      <c r="F220" t="str">
        <f t="shared" si="0"/>
        <v xml:space="preserve">     El riesgo afecta la imagen de de la entidad con efecto publicitario sostenido a nivel de sector administrativo, nivel departamental o municipal</v>
      </c>
    </row>
    <row r="221" spans="1:8" x14ac:dyDescent="0.25">
      <c r="A221" s="38"/>
      <c r="B221" s="24" t="e" cm="1">
        <f t="array" aca="1" ref="B221:B223" ca="1">_xlfn.UNIQUE(Tabla1[[#All],[Criterios]])</f>
        <v>#NAME?</v>
      </c>
      <c r="C221" s="24"/>
      <c r="E221" t="s">
        <v>128</v>
      </c>
      <c r="F221" t="str">
        <f t="shared" si="0"/>
        <v xml:space="preserve">     El riesgo afecta la imagen de la entidad a nivel nacional, con efecto publicitarios sostenible a nivel país</v>
      </c>
    </row>
    <row r="222" spans="1:8" x14ac:dyDescent="0.25">
      <c r="A222" s="38"/>
      <c r="B222" s="24" t="e">
        <f ca="1"/>
        <v>#NAME?</v>
      </c>
      <c r="C222" s="24"/>
    </row>
    <row r="223" spans="1:8" x14ac:dyDescent="0.25">
      <c r="B223" s="24" t="e">
        <f ca="1"/>
        <v>#NAME?</v>
      </c>
      <c r="C223" s="24"/>
      <c r="F223" s="27" t="s">
        <v>145</v>
      </c>
    </row>
    <row r="224" spans="1:8" x14ac:dyDescent="0.25">
      <c r="B224" s="19"/>
      <c r="C224" s="19"/>
      <c r="F224" s="27" t="s">
        <v>146</v>
      </c>
    </row>
    <row r="225" spans="2:4" x14ac:dyDescent="0.25">
      <c r="B225" s="19"/>
      <c r="C225" s="19"/>
    </row>
    <row r="226" spans="2:4" x14ac:dyDescent="0.25">
      <c r="B226" s="19"/>
      <c r="C226" s="19"/>
    </row>
    <row r="227" spans="2:4" x14ac:dyDescent="0.25">
      <c r="B227" s="19"/>
      <c r="C227" s="19"/>
      <c r="D227" s="19"/>
    </row>
    <row r="228" spans="2:4" x14ac:dyDescent="0.25">
      <c r="B228" s="19"/>
      <c r="C228" s="19"/>
      <c r="D228" s="19"/>
    </row>
    <row r="229" spans="2:4" x14ac:dyDescent="0.25">
      <c r="B229" s="19"/>
      <c r="C229" s="19"/>
      <c r="D229" s="19"/>
    </row>
    <row r="230" spans="2:4" x14ac:dyDescent="0.25">
      <c r="B230" s="19"/>
      <c r="C230" s="19"/>
      <c r="D230" s="19"/>
    </row>
    <row r="231" spans="2:4" x14ac:dyDescent="0.25">
      <c r="B231" s="19"/>
      <c r="C231" s="19"/>
      <c r="D231" s="19"/>
    </row>
    <row r="232" spans="2:4" x14ac:dyDescent="0.25">
      <c r="B232" s="19"/>
      <c r="C232" s="19"/>
      <c r="D232" s="19"/>
    </row>
  </sheetData>
  <mergeCells count="1">
    <mergeCell ref="B1:D1"/>
  </mergeCells>
  <dataValidations disablePrompts="1" count="1">
    <dataValidation type="list" allowBlank="1" showInputMessage="1" showErrorMessage="1" sqref="G210" xr:uid="{00000000-0002-0000-0500-000000000000}">
      <formula1>$F$210:$F$221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16"/>
  <sheetViews>
    <sheetView topLeftCell="A10" workbookViewId="0">
      <selection activeCell="B15" sqref="B15:F15"/>
    </sheetView>
  </sheetViews>
  <sheetFormatPr baseColWidth="10" defaultColWidth="14.28515625" defaultRowHeight="12.75" x14ac:dyDescent="0.2"/>
  <cols>
    <col min="1" max="2" width="14.28515625" style="39"/>
    <col min="3" max="3" width="17" style="39" customWidth="1"/>
    <col min="4" max="4" width="14.28515625" style="39"/>
    <col min="5" max="5" width="46" style="39" customWidth="1"/>
    <col min="6" max="16384" width="14.28515625" style="39"/>
  </cols>
  <sheetData>
    <row r="1" spans="2:6" ht="24" customHeight="1" thickBot="1" x14ac:dyDescent="0.25">
      <c r="B1" s="340" t="s">
        <v>147</v>
      </c>
      <c r="C1" s="341"/>
      <c r="D1" s="341"/>
      <c r="E1" s="341"/>
      <c r="F1" s="342"/>
    </row>
    <row r="2" spans="2:6" ht="16.5" thickBot="1" x14ac:dyDescent="0.3">
      <c r="B2" s="40"/>
      <c r="C2" s="40"/>
      <c r="D2" s="40"/>
      <c r="E2" s="40"/>
      <c r="F2" s="40"/>
    </row>
    <row r="3" spans="2:6" ht="16.5" thickBot="1" x14ac:dyDescent="0.25">
      <c r="B3" s="344" t="s">
        <v>148</v>
      </c>
      <c r="C3" s="345"/>
      <c r="D3" s="345"/>
      <c r="E3" s="52" t="s">
        <v>149</v>
      </c>
      <c r="F3" s="53" t="s">
        <v>150</v>
      </c>
    </row>
    <row r="4" spans="2:6" ht="31.5" x14ac:dyDescent="0.2">
      <c r="B4" s="346" t="s">
        <v>151</v>
      </c>
      <c r="C4" s="348" t="s">
        <v>73</v>
      </c>
      <c r="D4" s="41" t="s">
        <v>152</v>
      </c>
      <c r="E4" s="42" t="s">
        <v>153</v>
      </c>
      <c r="F4" s="43">
        <v>0.25</v>
      </c>
    </row>
    <row r="5" spans="2:6" ht="47.25" x14ac:dyDescent="0.2">
      <c r="B5" s="347"/>
      <c r="C5" s="349"/>
      <c r="D5" s="44" t="s">
        <v>154</v>
      </c>
      <c r="E5" s="45" t="s">
        <v>155</v>
      </c>
      <c r="F5" s="46">
        <v>0.15</v>
      </c>
    </row>
    <row r="6" spans="2:6" ht="47.25" x14ac:dyDescent="0.2">
      <c r="B6" s="347"/>
      <c r="C6" s="349"/>
      <c r="D6" s="44" t="s">
        <v>156</v>
      </c>
      <c r="E6" s="45" t="s">
        <v>157</v>
      </c>
      <c r="F6" s="46">
        <v>0.1</v>
      </c>
    </row>
    <row r="7" spans="2:6" ht="63" x14ac:dyDescent="0.2">
      <c r="B7" s="347"/>
      <c r="C7" s="349" t="s">
        <v>74</v>
      </c>
      <c r="D7" s="44" t="s">
        <v>158</v>
      </c>
      <c r="E7" s="45" t="s">
        <v>159</v>
      </c>
      <c r="F7" s="46">
        <v>0.25</v>
      </c>
    </row>
    <row r="8" spans="2:6" ht="31.5" x14ac:dyDescent="0.2">
      <c r="B8" s="347"/>
      <c r="C8" s="349"/>
      <c r="D8" s="44" t="s">
        <v>160</v>
      </c>
      <c r="E8" s="45" t="s">
        <v>161</v>
      </c>
      <c r="F8" s="46">
        <v>0.15</v>
      </c>
    </row>
    <row r="9" spans="2:6" ht="47.25" x14ac:dyDescent="0.2">
      <c r="B9" s="347" t="s">
        <v>162</v>
      </c>
      <c r="C9" s="349" t="s">
        <v>76</v>
      </c>
      <c r="D9" s="44" t="s">
        <v>163</v>
      </c>
      <c r="E9" s="45" t="s">
        <v>164</v>
      </c>
      <c r="F9" s="47" t="s">
        <v>165</v>
      </c>
    </row>
    <row r="10" spans="2:6" ht="63" x14ac:dyDescent="0.2">
      <c r="B10" s="347"/>
      <c r="C10" s="349"/>
      <c r="D10" s="44" t="s">
        <v>166</v>
      </c>
      <c r="E10" s="45" t="s">
        <v>167</v>
      </c>
      <c r="F10" s="47" t="s">
        <v>165</v>
      </c>
    </row>
    <row r="11" spans="2:6" ht="47.25" x14ac:dyDescent="0.2">
      <c r="B11" s="347"/>
      <c r="C11" s="349" t="s">
        <v>77</v>
      </c>
      <c r="D11" s="44" t="s">
        <v>168</v>
      </c>
      <c r="E11" s="45" t="s">
        <v>169</v>
      </c>
      <c r="F11" s="47" t="s">
        <v>165</v>
      </c>
    </row>
    <row r="12" spans="2:6" ht="47.25" x14ac:dyDescent="0.2">
      <c r="B12" s="347"/>
      <c r="C12" s="349"/>
      <c r="D12" s="44" t="s">
        <v>170</v>
      </c>
      <c r="E12" s="45" t="s">
        <v>171</v>
      </c>
      <c r="F12" s="47" t="s">
        <v>165</v>
      </c>
    </row>
    <row r="13" spans="2:6" ht="31.5" x14ac:dyDescent="0.2">
      <c r="B13" s="347"/>
      <c r="C13" s="349" t="s">
        <v>78</v>
      </c>
      <c r="D13" s="44" t="s">
        <v>172</v>
      </c>
      <c r="E13" s="45" t="s">
        <v>173</v>
      </c>
      <c r="F13" s="47" t="s">
        <v>165</v>
      </c>
    </row>
    <row r="14" spans="2:6" ht="32.25" thickBot="1" x14ac:dyDescent="0.25">
      <c r="B14" s="350"/>
      <c r="C14" s="351"/>
      <c r="D14" s="48" t="s">
        <v>174</v>
      </c>
      <c r="E14" s="49" t="s">
        <v>175</v>
      </c>
      <c r="F14" s="50" t="s">
        <v>165</v>
      </c>
    </row>
    <row r="15" spans="2:6" ht="49.5" customHeight="1" x14ac:dyDescent="0.2">
      <c r="B15" s="343" t="s">
        <v>176</v>
      </c>
      <c r="C15" s="343"/>
      <c r="D15" s="343"/>
      <c r="E15" s="343"/>
      <c r="F15" s="343"/>
    </row>
    <row r="16" spans="2:6" ht="27" customHeight="1" x14ac:dyDescent="0.25">
      <c r="B16" s="51"/>
    </row>
  </sheetData>
  <mergeCells count="10">
    <mergeCell ref="B1:F1"/>
    <mergeCell ref="B15:F15"/>
    <mergeCell ref="B3:D3"/>
    <mergeCell ref="B4:B8"/>
    <mergeCell ref="C4:C6"/>
    <mergeCell ref="C7:C8"/>
    <mergeCell ref="B9:B14"/>
    <mergeCell ref="C9:C10"/>
    <mergeCell ref="C11:C12"/>
    <mergeCell ref="C13:C14"/>
  </mergeCells>
  <pageMargins left="0.70866141732283472" right="0.70866141732283472" top="0.74803149606299213" bottom="0.74803149606299213" header="0.31496062992125984" footer="0.31496062992125984"/>
  <pageSetup paperSize="9" scale="70"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28"/>
  <sheetViews>
    <sheetView topLeftCell="A7" workbookViewId="0">
      <selection activeCell="H26" sqref="H26"/>
    </sheetView>
  </sheetViews>
  <sheetFormatPr baseColWidth="10" defaultColWidth="11.42578125" defaultRowHeight="15" x14ac:dyDescent="0.25"/>
  <sheetData>
    <row r="2" spans="2:5" x14ac:dyDescent="0.25">
      <c r="B2" t="s">
        <v>177</v>
      </c>
      <c r="E2" t="s">
        <v>178</v>
      </c>
    </row>
    <row r="3" spans="2:5" x14ac:dyDescent="0.25">
      <c r="B3" t="s">
        <v>179</v>
      </c>
      <c r="E3" t="s">
        <v>180</v>
      </c>
    </row>
    <row r="4" spans="2:5" x14ac:dyDescent="0.25">
      <c r="B4" t="s">
        <v>181</v>
      </c>
      <c r="E4" t="s">
        <v>182</v>
      </c>
    </row>
    <row r="5" spans="2:5" x14ac:dyDescent="0.25">
      <c r="B5" t="s">
        <v>183</v>
      </c>
    </row>
    <row r="8" spans="2:5" x14ac:dyDescent="0.25">
      <c r="B8" t="s">
        <v>184</v>
      </c>
    </row>
    <row r="9" spans="2:5" x14ac:dyDescent="0.25">
      <c r="B9" t="s">
        <v>185</v>
      </c>
    </row>
    <row r="10" spans="2:5" x14ac:dyDescent="0.25">
      <c r="B10" t="s">
        <v>186</v>
      </c>
    </row>
    <row r="13" spans="2:5" x14ac:dyDescent="0.25">
      <c r="B13" t="s">
        <v>187</v>
      </c>
    </row>
    <row r="14" spans="2:5" x14ac:dyDescent="0.25">
      <c r="B14" t="s">
        <v>188</v>
      </c>
    </row>
    <row r="15" spans="2:5" x14ac:dyDescent="0.25">
      <c r="B15" t="s">
        <v>189</v>
      </c>
    </row>
    <row r="16" spans="2:5" x14ac:dyDescent="0.25">
      <c r="B16" t="s">
        <v>190</v>
      </c>
    </row>
    <row r="17" spans="2:2" x14ac:dyDescent="0.25">
      <c r="B17" t="s">
        <v>191</v>
      </c>
    </row>
    <row r="18" spans="2:2" x14ac:dyDescent="0.25">
      <c r="B18" t="s">
        <v>192</v>
      </c>
    </row>
    <row r="19" spans="2:2" x14ac:dyDescent="0.25">
      <c r="B19" t="s">
        <v>193</v>
      </c>
    </row>
    <row r="22" spans="2:2" x14ac:dyDescent="0.25">
      <c r="B22" t="s">
        <v>400</v>
      </c>
    </row>
    <row r="23" spans="2:2" x14ac:dyDescent="0.25">
      <c r="B23" t="s">
        <v>401</v>
      </c>
    </row>
    <row r="26" spans="2:2" x14ac:dyDescent="0.25">
      <c r="B26" t="s">
        <v>402</v>
      </c>
    </row>
    <row r="27" spans="2:2" x14ac:dyDescent="0.25">
      <c r="B27" t="s">
        <v>403</v>
      </c>
    </row>
    <row r="28" spans="2:2" x14ac:dyDescent="0.25">
      <c r="B28" t="s">
        <v>404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C19" sqref="C19"/>
    </sheetView>
  </sheetViews>
  <sheetFormatPr baseColWidth="10" defaultColWidth="11.42578125" defaultRowHeight="12.75" x14ac:dyDescent="0.2"/>
  <cols>
    <col min="1" max="1" width="32.85546875" style="6" customWidth="1"/>
    <col min="2" max="16384" width="11.42578125" style="6"/>
  </cols>
  <sheetData>
    <row r="3" spans="1:1" x14ac:dyDescent="0.2">
      <c r="A3" s="7" t="s">
        <v>152</v>
      </c>
    </row>
    <row r="4" spans="1:1" x14ac:dyDescent="0.2">
      <c r="A4" s="7" t="s">
        <v>154</v>
      </c>
    </row>
    <row r="5" spans="1:1" x14ac:dyDescent="0.2">
      <c r="A5" s="7" t="s">
        <v>156</v>
      </c>
    </row>
    <row r="6" spans="1:1" x14ac:dyDescent="0.2">
      <c r="A6" s="7" t="s">
        <v>158</v>
      </c>
    </row>
    <row r="7" spans="1:1" x14ac:dyDescent="0.2">
      <c r="A7" s="7" t="s">
        <v>160</v>
      </c>
    </row>
    <row r="8" spans="1:1" x14ac:dyDescent="0.2">
      <c r="A8" s="7" t="s">
        <v>163</v>
      </c>
    </row>
    <row r="9" spans="1:1" x14ac:dyDescent="0.2">
      <c r="A9" s="7" t="s">
        <v>166</v>
      </c>
    </row>
    <row r="10" spans="1:1" x14ac:dyDescent="0.2">
      <c r="A10" s="7" t="s">
        <v>168</v>
      </c>
    </row>
    <row r="11" spans="1:1" x14ac:dyDescent="0.2">
      <c r="A11" s="7" t="s">
        <v>170</v>
      </c>
    </row>
    <row r="12" spans="1:1" x14ac:dyDescent="0.2">
      <c r="A12" s="7" t="s">
        <v>194</v>
      </c>
    </row>
    <row r="13" spans="1:1" x14ac:dyDescent="0.2">
      <c r="A13" s="7" t="s">
        <v>195</v>
      </c>
    </row>
    <row r="14" spans="1:1" x14ac:dyDescent="0.2">
      <c r="A14" s="7" t="s">
        <v>196</v>
      </c>
    </row>
    <row r="16" spans="1:1" x14ac:dyDescent="0.2">
      <c r="A16" s="7" t="s">
        <v>197</v>
      </c>
    </row>
    <row r="17" spans="1:1" x14ac:dyDescent="0.2">
      <c r="A17" s="7" t="s">
        <v>177</v>
      </c>
    </row>
    <row r="18" spans="1:1" x14ac:dyDescent="0.2">
      <c r="A18" s="7" t="s">
        <v>179</v>
      </c>
    </row>
    <row r="20" spans="1:1" x14ac:dyDescent="0.2">
      <c r="A20" s="7" t="s">
        <v>185</v>
      </c>
    </row>
    <row r="21" spans="1:1" x14ac:dyDescent="0.2">
      <c r="A21" s="7"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Intructivo  </vt:lpstr>
      <vt:lpstr>Mapa de Riesgos</vt:lpstr>
      <vt:lpstr>Matriz Calor Inherente </vt:lpstr>
      <vt:lpstr>Matriz calor Residual </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CANAL TRO</cp:lastModifiedBy>
  <cp:revision/>
  <cp:lastPrinted>2024-04-17T20:08:04Z</cp:lastPrinted>
  <dcterms:created xsi:type="dcterms:W3CDTF">2020-03-24T23:12:47Z</dcterms:created>
  <dcterms:modified xsi:type="dcterms:W3CDTF">2026-01-30T15:13:15Z</dcterms:modified>
  <cp:category/>
  <cp:contentStatus/>
</cp:coreProperties>
</file>